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ettings" sheetId="2" state="visible" r:id="rId4"/>
    <sheet name="Students" sheetId="3" state="visible" r:id="rId5"/>
    <sheet name="Scores" sheetId="4" state="visible" r:id="rId6"/>
    <sheet name="Attendance" sheetId="5" state="visible" r:id="rId7"/>
    <sheet name="Results" sheetId="6" state="visible" r:id="rId8"/>
    <sheet name="Subject Analysis" sheetId="7" state="visible" r:id="rId9"/>
    <sheet name="Dashboard" sheetId="8" state="visible" r:id="rId10"/>
    <sheet name="Report Card" sheetId="9" state="visible" r:id="rId11"/>
  </sheets>
  <definedNames>
    <definedName function="false" hidden="false" localSheetId="8" name="_xlnm.Print_Area" vbProcedure="false">'Report Card'!$A$1:$I$33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<sst xmlns="http://schemas.openxmlformats.org/spreadsheetml/2006/main" count="292" uniqueCount="239">
  <si>
    <t xml:space="preserve">SCHOOL RESULTS &amp; STUDENT PERFORMANCE SYSTEM</t>
  </si>
  <si>
    <t xml:space="preserve">Calculates subject scores, grades, class averages, rankings, attendance and printable report cards.</t>
  </si>
  <si>
    <t xml:space="preserve">HOW TO USE</t>
  </si>
  <si>
    <t xml:space="preserve">1. Settings</t>
  </si>
  <si>
    <t xml:space="preserve">Enter the school, term, number of school days, pass mark, CA/Exam weights, subjects and grading scale.</t>
  </si>
  <si>
    <t xml:space="preserve">2. Students</t>
  </si>
  <si>
    <t xml:space="preserve">List each student (ID, name, gender). Up to 40 students per class.</t>
  </si>
  <si>
    <t xml:space="preserve">3. Scores</t>
  </si>
  <si>
    <t xml:space="preserve">Enter each student's CA and Exam scores (0-100) for every subject.</t>
  </si>
  <si>
    <t xml:space="preserve">4. Attendance</t>
  </si>
  <si>
    <t xml:space="preserve">Enter days present (and days late). Absences, % and rating are calculated.</t>
  </si>
  <si>
    <t xml:space="preserve">5. Review</t>
  </si>
  <si>
    <t xml:space="preserve">Results, Subject Analysis and Dashboard update instantly. Nothing needs to be typed there.</t>
  </si>
  <si>
    <t xml:space="preserve">6. Report Card</t>
  </si>
  <si>
    <t xml:space="preserve">Choose a Student ID from the dropdown, then print (A4 portrait) or save as PDF.</t>
  </si>
  <si>
    <t xml:space="preserve">Starting fresh</t>
  </si>
  <si>
    <t xml:space="preserve">Select the blue-on-yellow cells in Students, Scores and Attendance and press Delete. Keep the formulas in grey/white cells.</t>
  </si>
  <si>
    <t xml:space="preserve">COLOUR KEY</t>
  </si>
  <si>
    <t xml:space="preserve">Blue on yellow</t>
  </si>
  <si>
    <t xml:space="preserve">Input cell: type here.</t>
  </si>
  <si>
    <t xml:space="preserve">Black on white/grey</t>
  </si>
  <si>
    <t xml:space="preserve">Calculated cell: do not overwrite.</t>
  </si>
  <si>
    <t xml:space="preserve">Red / green fills</t>
  </si>
  <si>
    <t xml:space="preserve">Automatic flags: red = below pass mark or minimum attendance; green = top grade or promoted.</t>
  </si>
  <si>
    <t xml:space="preserve">HOW THE CALCULATIONS WORK</t>
  </si>
  <si>
    <t xml:space="preserve">Final subject score</t>
  </si>
  <si>
    <t xml:space="preserve">CA x CA weight + Exam x Exam weight (rounded to 1 decimal). Blank if CA or Exam is missing, so absent students are not counted as zero.</t>
  </si>
  <si>
    <t xml:space="preserve">Overall average</t>
  </si>
  <si>
    <t xml:space="preserve">Average of the student's final subject scores. Ranking is by this average.</t>
  </si>
  <si>
    <t xml:space="preserve">Grade &amp; remark</t>
  </si>
  <si>
    <t xml:space="preserve">Looked up in the grading scale in Settings using the lower bounds.</t>
  </si>
  <si>
    <t xml:space="preserve">Rank / position</t>
  </si>
  <si>
    <t xml:space="preserve">Rank 1 = highest average. Students with equal averages share a rank (1, 2, 2, 4).</t>
  </si>
  <si>
    <t xml:space="preserve">Attendance %</t>
  </si>
  <si>
    <t xml:space="preserve">Days present / total school days. Compared with the minimum set in Settings.</t>
  </si>
  <si>
    <t xml:space="preserve">Status</t>
  </si>
  <si>
    <t xml:space="preserve">Promoted if average &gt;= pass mark and attendance &gt;= minimum; otherwise At Risk (Academic, Attendance or both).</t>
  </si>
  <si>
    <t xml:space="preserve">Grade points / GPA</t>
  </si>
  <si>
    <t xml:space="preserve">Points per grade from Settings; GPA = average of the subject points.</t>
  </si>
  <si>
    <t xml:space="preserve">SHEETS</t>
  </si>
  <si>
    <t xml:space="preserve">Settings</t>
  </si>
  <si>
    <t xml:space="preserve">Inputs: school details, weights, subjects, grading scale, attendance ratings.</t>
  </si>
  <si>
    <t xml:space="preserve">Students</t>
  </si>
  <si>
    <t xml:space="preserve">Input: student register.</t>
  </si>
  <si>
    <t xml:space="preserve">Scores</t>
  </si>
  <si>
    <t xml:space="preserve">Input: CA and Exam scores per subject.</t>
  </si>
  <si>
    <t xml:space="preserve">Attendance</t>
  </si>
  <si>
    <t xml:space="preserve">Input: days present/late; calculated absence, %, rating.</t>
  </si>
  <si>
    <t xml:space="preserve">Results</t>
  </si>
  <si>
    <t xml:space="preserve">Calculated: final scores, average, grade, rank, status, class statistics.</t>
  </si>
  <si>
    <t xml:space="preserve">Subject Analysis</t>
  </si>
  <si>
    <t xml:space="preserve">Calculated: per-subject average, range, pass rate, grade distribution, chart.</t>
  </si>
  <si>
    <t xml:space="preserve">Dashboard</t>
  </si>
  <si>
    <t xml:space="preserve">Calculated: headline figures, top 5, grade distribution, gender comparison, charts.</t>
  </si>
  <si>
    <t xml:space="preserve">Report Card</t>
  </si>
  <si>
    <t xml:space="preserve">Printable individual report; choose the student from the dropdown.</t>
  </si>
  <si>
    <t xml:space="preserve">Sample data</t>
  </si>
  <si>
    <t xml:space="preserve">The names and marks in this file are fictional examples. Clear them before real use.</t>
  </si>
  <si>
    <t xml:space="preserve">SETTINGS</t>
  </si>
  <si>
    <t xml:space="preserve">Edit the blue cells on yellow. Every other sheet recalculates automatically.</t>
  </si>
  <si>
    <t xml:space="preserve">SCHOOL &amp; TERM DETAILS</t>
  </si>
  <si>
    <t xml:space="preserve">School name</t>
  </si>
  <si>
    <t xml:space="preserve">Greenfield Academy</t>
  </si>
  <si>
    <t xml:space="preserve">Printed on report cards</t>
  </si>
  <si>
    <t xml:space="preserve">Academic year</t>
  </si>
  <si>
    <t xml:space="preserve">2026/2027</t>
  </si>
  <si>
    <t xml:space="preserve">Term / semester</t>
  </si>
  <si>
    <t xml:space="preserve">Term 1</t>
  </si>
  <si>
    <t xml:space="preserve">Class / grade</t>
  </si>
  <si>
    <t xml:space="preserve">Grade 8A</t>
  </si>
  <si>
    <t xml:space="preserve">Class teacher</t>
  </si>
  <si>
    <t xml:space="preserve">Ms. R. Clarke</t>
  </si>
  <si>
    <t xml:space="preserve">Total school days (this term)</t>
  </si>
  <si>
    <t xml:space="preserve">Used for attendance %</t>
  </si>
  <si>
    <t xml:space="preserve">Pass mark (%)</t>
  </si>
  <si>
    <t xml:space="preserve">Minimum final score to pass a subject / the term</t>
  </si>
  <si>
    <t xml:space="preserve">Minimum attendance (%)</t>
  </si>
  <si>
    <t xml:space="preserve">Below this a student is flagged</t>
  </si>
  <si>
    <t xml:space="preserve">Continuous assessment (CA) weight</t>
  </si>
  <si>
    <t xml:space="preserve">Share of final subject score</t>
  </si>
  <si>
    <t xml:space="preserve">Exam weight</t>
  </si>
  <si>
    <t xml:space="preserve">Calculated: 100% minus CA weight</t>
  </si>
  <si>
    <t xml:space="preserve">Headteacher / Principal</t>
  </si>
  <si>
    <t xml:space="preserve">Mr. D. Foster</t>
  </si>
  <si>
    <t xml:space="preserve">SUBJECTS (up to 6; leave a name blank to hide a subject)</t>
  </si>
  <si>
    <t xml:space="preserve">No.</t>
  </si>
  <si>
    <t xml:space="preserve">Subject</t>
  </si>
  <si>
    <t xml:space="preserve">Subject teacher</t>
  </si>
  <si>
    <t xml:space="preserve">Mathematics</t>
  </si>
  <si>
    <t xml:space="preserve">Mr. Davies</t>
  </si>
  <si>
    <t xml:space="preserve">English Language</t>
  </si>
  <si>
    <t xml:space="preserve">Ms. Hughes</t>
  </si>
  <si>
    <t xml:space="preserve">Science</t>
  </si>
  <si>
    <t xml:space="preserve">Dr. Okoye</t>
  </si>
  <si>
    <t xml:space="preserve">Social Studies</t>
  </si>
  <si>
    <t xml:space="preserve">Ms. Bennett</t>
  </si>
  <si>
    <t xml:space="preserve">ICT</t>
  </si>
  <si>
    <t xml:space="preserve">Mr. Tran</t>
  </si>
  <si>
    <t xml:space="preserve">Creative Arts</t>
  </si>
  <si>
    <t xml:space="preserve">Ms. Alvarez</t>
  </si>
  <si>
    <t xml:space="preserve">GRADING SCALE (keep lower bounds in ascending order)</t>
  </si>
  <si>
    <t xml:space="preserve">Lower bound (%)</t>
  </si>
  <si>
    <t xml:space="preserve">Grade</t>
  </si>
  <si>
    <t xml:space="preserve">Remark</t>
  </si>
  <si>
    <t xml:space="preserve">Grade points</t>
  </si>
  <si>
    <t xml:space="preserve">F</t>
  </si>
  <si>
    <t xml:space="preserve">Fail</t>
  </si>
  <si>
    <t xml:space="preserve">E</t>
  </si>
  <si>
    <t xml:space="preserve">Weak pass</t>
  </si>
  <si>
    <t xml:space="preserve">D</t>
  </si>
  <si>
    <t xml:space="preserve">Satisfactory</t>
  </si>
  <si>
    <t xml:space="preserve">C</t>
  </si>
  <si>
    <t xml:space="preserve">Good</t>
  </si>
  <si>
    <t xml:space="preserve">B</t>
  </si>
  <si>
    <t xml:space="preserve">Very good</t>
  </si>
  <si>
    <t xml:space="preserve">A</t>
  </si>
  <si>
    <t xml:space="preserve">Excellent</t>
  </si>
  <si>
    <t xml:space="preserve">ATTENDANCE RATING (ascending)</t>
  </si>
  <si>
    <t xml:space="preserve">Rating</t>
  </si>
  <si>
    <t xml:space="preserve">Poor</t>
  </si>
  <si>
    <t xml:space="preserve">Fair</t>
  </si>
  <si>
    <t xml:space="preserve">STUDENT REGISTER</t>
  </si>
  <si>
    <t xml:space="preserve">Enter one student per row (up to 40). Student IDs must be unique.</t>
  </si>
  <si>
    <t xml:space="preserve">Blue text on yellow = type here</t>
  </si>
  <si>
    <t xml:space="preserve">Student ID</t>
  </si>
  <si>
    <t xml:space="preserve">Full name</t>
  </si>
  <si>
    <t xml:space="preserve">Gender</t>
  </si>
  <si>
    <t xml:space="preserve">Date of birth</t>
  </si>
  <si>
    <t xml:space="preserve">Guardian / contact</t>
  </si>
  <si>
    <t xml:space="preserve">S001</t>
  </si>
  <si>
    <t xml:space="preserve">Ava Thompson</t>
  </si>
  <si>
    <t xml:space="preserve">Female</t>
  </si>
  <si>
    <t xml:space="preserve">Parent - 555-0110</t>
  </si>
  <si>
    <t xml:space="preserve">S002</t>
  </si>
  <si>
    <t xml:space="preserve">Noah Williams</t>
  </si>
  <si>
    <t xml:space="preserve">Male</t>
  </si>
  <si>
    <t xml:space="preserve">Parent - 555-0111</t>
  </si>
  <si>
    <t xml:space="preserve">S003</t>
  </si>
  <si>
    <t xml:space="preserve">Mia Hernandez</t>
  </si>
  <si>
    <t xml:space="preserve">Parent - 555-0112</t>
  </si>
  <si>
    <t xml:space="preserve">S004</t>
  </si>
  <si>
    <t xml:space="preserve">Ethan Brown</t>
  </si>
  <si>
    <t xml:space="preserve">Parent - 555-0113</t>
  </si>
  <si>
    <t xml:space="preserve">S005</t>
  </si>
  <si>
    <t xml:space="preserve">Zara Khan</t>
  </si>
  <si>
    <t xml:space="preserve">Parent - 555-0114</t>
  </si>
  <si>
    <t xml:space="preserve">S006</t>
  </si>
  <si>
    <t xml:space="preserve">Lucas Martin</t>
  </si>
  <si>
    <t xml:space="preserve">Parent - 555-0115</t>
  </si>
  <si>
    <t xml:space="preserve">S007</t>
  </si>
  <si>
    <t xml:space="preserve">Chloe Nguyen</t>
  </si>
  <si>
    <t xml:space="preserve">Parent - 555-0116</t>
  </si>
  <si>
    <t xml:space="preserve">S008</t>
  </si>
  <si>
    <t xml:space="preserve">Daniel Kim</t>
  </si>
  <si>
    <t xml:space="preserve">Parent - 555-0117</t>
  </si>
  <si>
    <t xml:space="preserve">S009</t>
  </si>
  <si>
    <t xml:space="preserve">Grace Adeyemi</t>
  </si>
  <si>
    <t xml:space="preserve">Parent - 555-0118</t>
  </si>
  <si>
    <t xml:space="preserve">S010</t>
  </si>
  <si>
    <t xml:space="preserve">Oliver Patel</t>
  </si>
  <si>
    <t xml:space="preserve">Parent - 555-0119</t>
  </si>
  <si>
    <t xml:space="preserve">S011</t>
  </si>
  <si>
    <t xml:space="preserve">Isabella Rossi</t>
  </si>
  <si>
    <t xml:space="preserve">Parent - 555-0120</t>
  </si>
  <si>
    <t xml:space="preserve">S012</t>
  </si>
  <si>
    <t xml:space="preserve">Samuel Lee</t>
  </si>
  <si>
    <t xml:space="preserve">Parent - 555-0121</t>
  </si>
  <si>
    <t xml:space="preserve">SCORE ENTRY</t>
  </si>
  <si>
    <t xml:space="preserve">Enter each student's CA and Exam score as a percentage (0-100). Weights are set in Settings.</t>
  </si>
  <si>
    <t xml:space="preserve">Student name</t>
  </si>
  <si>
    <t xml:space="preserve">ATTENDANCE REGISTER</t>
  </si>
  <si>
    <t xml:space="preserve">Enter days present and days late. Absences, % and rating are calculated.</t>
  </si>
  <si>
    <t xml:space="preserve">School days this term:</t>
  </si>
  <si>
    <t xml:space="preserve">Days present</t>
  </si>
  <si>
    <t xml:space="preserve">Days late</t>
  </si>
  <si>
    <t xml:space="preserve">Days absent</t>
  </si>
  <si>
    <t xml:space="preserve">Flag</t>
  </si>
  <si>
    <t xml:space="preserve">CLASS RESULTS &amp; RANKINGS</t>
  </si>
  <si>
    <t xml:space="preserve">Fully calculated. Do not type in this sheet; edit Scores, Attendance or Settings.</t>
  </si>
  <si>
    <t xml:space="preserve">FINAL SUBJECT SCORES (%)</t>
  </si>
  <si>
    <t xml:space="preserve">OVERALL PERFORMANCE</t>
  </si>
  <si>
    <t xml:space="preserve">Total</t>
  </si>
  <si>
    <t xml:space="preserve">Average (%)</t>
  </si>
  <si>
    <t xml:space="preserve">Rank</t>
  </si>
  <si>
    <t xml:space="preserve">Position</t>
  </si>
  <si>
    <t xml:space="preserve">Subjects passed</t>
  </si>
  <si>
    <t xml:space="preserve">Sort key (helper)</t>
  </si>
  <si>
    <t xml:space="preserve">Class average</t>
  </si>
  <si>
    <t xml:space="preserve">Highest</t>
  </si>
  <si>
    <t xml:space="preserve">Lowest</t>
  </si>
  <si>
    <t xml:space="preserve">SUBJECT ANALYSIS</t>
  </si>
  <si>
    <t xml:space="preserve">Class average, range, pass rate and grade distribution for each subject.</t>
  </si>
  <si>
    <t xml:space="preserve">SUMMARY</t>
  </si>
  <si>
    <t xml:space="preserve">GRADE DISTRIBUTION (number of students)</t>
  </si>
  <si>
    <t xml:space="preserve">Teacher</t>
  </si>
  <si>
    <t xml:space="preserve">Students assessed</t>
  </si>
  <si>
    <t xml:space="preserve">Pass rate</t>
  </si>
  <si>
    <t xml:space="preserve">Top student</t>
  </si>
  <si>
    <t xml:space="preserve">All subjects</t>
  </si>
  <si>
    <t xml:space="preserve">CLASS PERFORMANCE DASHBOARD</t>
  </si>
  <si>
    <t xml:space="preserve">STUDENTS ENROLLED</t>
  </si>
  <si>
    <t xml:space="preserve">CLASS AVERAGE (%)</t>
  </si>
  <si>
    <t xml:space="preserve">PASS RATE</t>
  </si>
  <si>
    <t xml:space="preserve">AVERAGE ATTENDANCE</t>
  </si>
  <si>
    <t xml:space="preserve">HIGHEST AVERAGE</t>
  </si>
  <si>
    <t xml:space="preserve">LOWEST AVERAGE</t>
  </si>
  <si>
    <t xml:space="preserve">STUDENTS AT RISK</t>
  </si>
  <si>
    <t xml:space="preserve">BELOW MIN. ATTENDANCE</t>
  </si>
  <si>
    <t xml:space="preserve">TOP 5 STUDENTS</t>
  </si>
  <si>
    <t xml:space="preserve">Student</t>
  </si>
  <si>
    <t xml:space="preserve">GRADE DISTRIBUTION</t>
  </si>
  <si>
    <t xml:space="preserve">PERFORMANCE BY GENDER</t>
  </si>
  <si>
    <t xml:space="preserve">Share</t>
  </si>
  <si>
    <t xml:space="preserve">Group</t>
  </si>
  <si>
    <t xml:space="preserve">STUDENT PROGRESS REPORT</t>
  </si>
  <si>
    <t xml:space="preserve">helper</t>
  </si>
  <si>
    <t xml:space="preserve">Select Student ID  &gt;</t>
  </si>
  <si>
    <t xml:space="preserve">(pick from the dropdown; the report below updates)</t>
  </si>
  <si>
    <t xml:space="preserve">Class</t>
  </si>
  <si>
    <t xml:space="preserve">Term</t>
  </si>
  <si>
    <t xml:space="preserve">Class size</t>
  </si>
  <si>
    <t xml:space="preserve">ACADEMIC PERFORMANCE</t>
  </si>
  <si>
    <t xml:space="preserve">Final score (%)</t>
  </si>
  <si>
    <t xml:space="preserve">Position in subject</t>
  </si>
  <si>
    <t xml:space="preserve">Points</t>
  </si>
  <si>
    <t xml:space="preserve">OVERALL SUMMARY</t>
  </si>
  <si>
    <t xml:space="preserve">Total marks</t>
  </si>
  <si>
    <t xml:space="preserve">Overall average (%)</t>
  </si>
  <si>
    <t xml:space="preserve">Overall grade</t>
  </si>
  <si>
    <t xml:space="preserve">Class position</t>
  </si>
  <si>
    <t xml:space="preserve">Grade point average</t>
  </si>
  <si>
    <t xml:space="preserve">Attendance rating</t>
  </si>
  <si>
    <t xml:space="preserve">Promotion status</t>
  </si>
  <si>
    <t xml:space="preserve">Class average (%)</t>
  </si>
  <si>
    <t xml:space="preserve">CLASS TEACHER'S COMMENT</t>
  </si>
  <si>
    <t xml:space="preserve">Parent / guardian</t>
  </si>
  <si>
    <t xml:space="preserve">Optional input (not printed)</t>
  </si>
  <si>
    <t xml:space="preserve">Custom comment:</t>
  </si>
  <si>
    <t xml:space="preserve">Type here to replace the automatic comment above; clear it to restore the automatic one.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</si>
</sst>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%"/>
    <numFmt numFmtId="167" formatCode="0.0"/>
    <numFmt numFmtId="168" formatCode="dd\-mmm\-yyyy"/>
    <numFmt numFmtId="169" formatCode="0.0%"/>
    <numFmt numFmtId="170" formatCode="General"/>
    <numFmt numFmtId="171" formatCode="0.0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color theme="1"/>
      <name val="Arial"/>
      <family val="2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7F7F7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8"/>
      <color rgb="FF595959"/>
      <name val="Arial"/>
      <family val="0"/>
      <charset val="1"/>
    </font>
    <font>
      <b val="true"/>
      <sz val="20"/>
      <color rgb="FF1F3864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sz val="10"/>
      <color rgb="FF595959"/>
      <name val="Arial"/>
      <family val="0"/>
      <charset val="1"/>
    </font>
    <font>
      <sz val="8"/>
      <color rgb="FF7F7F7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9"/>
      <color rgb="FF7F7F7F"/>
      <name val="Arial"/>
      <family val="0"/>
      <charset val="1"/>
    </font>
    <font>
      <i val="true"/>
      <sz val="8"/>
      <color rgb="FF7F7F7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4F81BD"/>
      </patternFill>
    </fill>
    <fill>
      <patternFill patternType="solid">
        <fgColor rgb="FFF2F2F2"/>
        <bgColor rgb="FFDDEBF7"/>
      </patternFill>
    </fill>
    <fill>
      <patternFill patternType="solid">
        <fgColor rgb="FFFFF2CC"/>
        <bgColor rgb="FFF2F2F2"/>
      </patternFill>
    </fill>
    <fill>
      <patternFill patternType="solid">
        <fgColor rgb="FF7F7F7F"/>
        <bgColor rgb="FF878787"/>
      </patternFill>
    </fill>
    <fill>
      <patternFill patternType="solid">
        <fgColor rgb="FFDDEBF7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color rgb="FF9C5700"/>
      </font>
      <fill>
        <patternFill>
          <bgColor rgb="FFFFEB9C"/>
        </patternFill>
      </fill>
    </dxf>
    <dxf>
      <font>
        <name val="Arial"/>
        <charset val="1"/>
        <family val="0"/>
        <color rgb="FF9C5700"/>
      </font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548235"/>
      <rgbColor rgb="FF800080"/>
      <rgbColor rgb="FF008080"/>
      <rgbColor rgb="FFBFBFBF"/>
      <rgbColor rgb="FF7F7F7F"/>
      <rgbColor rgb="FF9999FF"/>
      <rgbColor rgb="FF7030A0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99CCFF"/>
      <rgbColor rgb="FFFF99CC"/>
      <rgbColor rgb="FFCC99FF"/>
      <rgbColor rgb="FFFFC7CE"/>
      <rgbColor rgb="FF2E75B6"/>
      <rgbColor rgb="FF33CCCC"/>
      <rgbColor rgb="FF99CC00"/>
      <rgbColor rgb="FFFFCC00"/>
      <rgbColor rgb="FFBF9000"/>
      <rgbColor rgb="FFC55A11"/>
      <rgbColor rgb="FF595959"/>
      <rgbColor rgb="FF878787"/>
      <rgbColor rgb="FF1F3864"/>
      <rgbColor rgb="FF4F81BD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Class average by subject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'Subject Analysis'!D5</c:f>
              <c:strCache>
                <c:ptCount val="1"/>
                <c:pt idx="0">
                  <c:v>Class average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'Subject Analysis'!$A$6:$A$11</c:f>
              <c:strCache>
                <c:ptCount val="6"/>
                <c:pt idx="0">
                  <c:v>Mathematics</c:v>
                </c:pt>
                <c:pt idx="1">
                  <c:v>English Language</c:v>
                </c:pt>
                <c:pt idx="2">
                  <c:v>Science</c:v>
                </c:pt>
                <c:pt idx="3">
                  <c:v>Social Studies</c:v>
                </c:pt>
                <c:pt idx="4">
                  <c:v>ICT</c:v>
                </c:pt>
                <c:pt idx="5">
                  <c:v>Creative Arts</c:v>
                </c:pt>
              </c:strCache>
            </c:strRef>
          </c:cat>
          <c:val>
            <c:numRef>
              <c:f>'Subject Analysis'!$D$6:$D$11</c:f>
              <c:numCache>
                <c:formatCode>0.0</c:formatCode>
                <c:ptCount val="6"/>
                <c:pt idx="0">
                  <c:v>62.1</c:v>
                </c:pt>
                <c:pt idx="1">
                  <c:v>63.2</c:v>
                </c:pt>
                <c:pt idx="2">
                  <c:v>61.8</c:v>
                </c:pt>
                <c:pt idx="3">
                  <c:v>62.3</c:v>
                </c:pt>
                <c:pt idx="4">
                  <c:v>61.4</c:v>
                </c:pt>
                <c:pt idx="5">
                  <c:v>62.4</c:v>
                </c:pt>
              </c:numCache>
            </c:numRef>
          </c:val>
        </c:ser>
        <c:gapWidth val="150"/>
        <c:overlap val="0"/>
        <c:axId val="42993380"/>
        <c:axId val="40351441"/>
      </c:barChart>
      <c:catAx>
        <c:axId val="429933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351441"/>
        <c:crosses val="autoZero"/>
        <c:auto val="1"/>
        <c:lblAlgn val="ctr"/>
        <c:lblOffset val="100"/>
        <c:noMultiLvlLbl val="0"/>
      </c:catAx>
      <c:valAx>
        <c:axId val="40351441"/>
        <c:scaling>
          <c:orientation val="minMax"/>
          <c:max val="100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99338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Class average by subject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'Subject Analysis'!D5</c:f>
              <c:strCache>
                <c:ptCount val="1"/>
                <c:pt idx="0">
                  <c:v>Class average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'Subject Analysis'!$A$6:$A$11</c:f>
              <c:strCache>
                <c:ptCount val="6"/>
                <c:pt idx="0">
                  <c:v>Mathematics</c:v>
                </c:pt>
                <c:pt idx="1">
                  <c:v>English Language</c:v>
                </c:pt>
                <c:pt idx="2">
                  <c:v>Science</c:v>
                </c:pt>
                <c:pt idx="3">
                  <c:v>Social Studies</c:v>
                </c:pt>
                <c:pt idx="4">
                  <c:v>ICT</c:v>
                </c:pt>
                <c:pt idx="5">
                  <c:v>Creative Arts</c:v>
                </c:pt>
              </c:strCache>
            </c:strRef>
          </c:cat>
          <c:val>
            <c:numRef>
              <c:f>'Subject Analysis'!$D$6:$D$11</c:f>
              <c:numCache>
                <c:formatCode>0.0</c:formatCode>
                <c:ptCount val="6"/>
                <c:pt idx="0">
                  <c:v>62.1</c:v>
                </c:pt>
                <c:pt idx="1">
                  <c:v>63.2</c:v>
                </c:pt>
                <c:pt idx="2">
                  <c:v>61.8</c:v>
                </c:pt>
                <c:pt idx="3">
                  <c:v>62.3</c:v>
                </c:pt>
                <c:pt idx="4">
                  <c:v>61.4</c:v>
                </c:pt>
                <c:pt idx="5">
                  <c:v>62.4</c:v>
                </c:pt>
              </c:numCache>
            </c:numRef>
          </c:val>
        </c:ser>
        <c:gapWidth val="150"/>
        <c:overlap val="0"/>
        <c:axId val="57517841"/>
        <c:axId val="7822912"/>
      </c:barChart>
      <c:catAx>
        <c:axId val="575178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22912"/>
        <c:crosses val="autoZero"/>
        <c:auto val="1"/>
        <c:lblAlgn val="ctr"/>
        <c:lblOffset val="100"/>
        <c:noMultiLvlLbl val="0"/>
      </c:catAx>
      <c:valAx>
        <c:axId val="7822912"/>
        <c:scaling>
          <c:orientation val="minMax"/>
          <c:max val="100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51784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Students per grade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Dashboard!B22</c:f>
              <c:strCache>
                <c:ptCount val="1"/>
                <c:pt idx="0">
                  <c:v>Students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Dashboard!$A$23:$A$28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Dashboard!$B$23:$B$28</c:f>
              <c:numCache>
                <c:formatCode>0</c:formatCode>
                <c:ptCount val="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</c:ser>
        <c:gapWidth val="150"/>
        <c:overlap val="0"/>
        <c:axId val="16807730"/>
        <c:axId val="72259267"/>
      </c:barChart>
      <c:catAx>
        <c:axId val="168077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259267"/>
        <c:crosses val="autoZero"/>
        <c:auto val="1"/>
        <c:lblAlgn val="ctr"/>
        <c:lblOffset val="100"/>
        <c:noMultiLvlLbl val="0"/>
      </c:catAx>
      <c:valAx>
        <c:axId val="722592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80773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0</xdr:rowOff>
    </xdr:from>
    <xdr:to>
      <xdr:col>5</xdr:col>
      <xdr:colOff>614160</xdr:colOff>
      <xdr:row>29</xdr:row>
      <xdr:rowOff>22320</xdr:rowOff>
    </xdr:to>
    <xdr:graphicFrame>
      <xdr:nvGraphicFramePr>
        <xdr:cNvPr id="0" name="Chart 1"/>
        <xdr:cNvGraphicFramePr/>
      </xdr:nvGraphicFramePr>
      <xdr:xfrm>
        <a:off x="0" y="31528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30</xdr:row>
      <xdr:rowOff>0</xdr:rowOff>
    </xdr:from>
    <xdr:to>
      <xdr:col>3</xdr:col>
      <xdr:colOff>967680</xdr:colOff>
      <xdr:row>44</xdr:row>
      <xdr:rowOff>32400</xdr:rowOff>
    </xdr:to>
    <xdr:graphicFrame>
      <xdr:nvGraphicFramePr>
        <xdr:cNvPr id="1" name="Chart 1"/>
        <xdr:cNvGraphicFramePr/>
      </xdr:nvGraphicFramePr>
      <xdr:xfrm>
        <a:off x="0" y="6696000"/>
        <a:ext cx="41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30</xdr:row>
      <xdr:rowOff>0</xdr:rowOff>
    </xdr:from>
    <xdr:to>
      <xdr:col>7</xdr:col>
      <xdr:colOff>968040</xdr:colOff>
      <xdr:row>44</xdr:row>
      <xdr:rowOff>32400</xdr:rowOff>
    </xdr:to>
    <xdr:graphicFrame>
      <xdr:nvGraphicFramePr>
        <xdr:cNvPr id="2" name="Chart 2"/>
        <xdr:cNvGraphicFramePr/>
      </xdr:nvGraphicFramePr>
      <xdr:xfrm>
        <a:off x="4229280" y="6696000"/>
        <a:ext cx="41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B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6"/>
  </cols>
  <sheetData>
    <row r="1" customFormat="false" ht="30" hidden="false" customHeight="tru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3"/>
    </row>
    <row r="4" customFormat="false" ht="19.5" hidden="false" customHeight="true" outlineLevel="0" collapsed="false">
      <c r="A4" s="4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18" hidden="false" customHeight="true" outlineLevel="0" collapsed="false">
      <c r="A6" s="5" t="s">
        <v>5</v>
      </c>
      <c r="B6" s="6" t="s">
        <v>6</v>
      </c>
    </row>
    <row r="7" customFormat="false" ht="18" hidden="false" customHeight="true" outlineLevel="0" collapsed="false">
      <c r="A7" s="5" t="s">
        <v>7</v>
      </c>
      <c r="B7" s="6" t="s">
        <v>8</v>
      </c>
    </row>
    <row r="8" customFormat="false" ht="18" hidden="false" customHeight="true" outlineLevel="0" collapsed="false">
      <c r="A8" s="5" t="s">
        <v>9</v>
      </c>
      <c r="B8" s="6" t="s">
        <v>10</v>
      </c>
    </row>
    <row r="9" customFormat="false" ht="18" hidden="false" customHeight="true" outlineLevel="0" collapsed="false">
      <c r="A9" s="5" t="s">
        <v>11</v>
      </c>
      <c r="B9" s="6" t="s">
        <v>12</v>
      </c>
    </row>
    <row r="10" customFormat="false" ht="18" hidden="false" customHeight="true" outlineLevel="0" collapsed="false">
      <c r="A10" s="5" t="s">
        <v>13</v>
      </c>
      <c r="B10" s="6" t="s">
        <v>14</v>
      </c>
    </row>
    <row r="11" customFormat="false" ht="30" hidden="false" customHeight="true" outlineLevel="0" collapsed="false">
      <c r="A11" s="5" t="s">
        <v>15</v>
      </c>
      <c r="B11" s="6" t="s">
        <v>16</v>
      </c>
    </row>
    <row r="12" customFormat="false" ht="15" hidden="false" customHeight="false" outlineLevel="0" collapsed="false">
      <c r="A12" s="3"/>
      <c r="B12" s="3"/>
    </row>
    <row r="13" customFormat="false" ht="19.5" hidden="false" customHeight="true" outlineLevel="0" collapsed="false">
      <c r="A13" s="4" t="s">
        <v>17</v>
      </c>
      <c r="B13" s="4"/>
    </row>
    <row r="14" customFormat="false" ht="15" hidden="false" customHeight="false" outlineLevel="0" collapsed="false">
      <c r="A14" s="7" t="s">
        <v>18</v>
      </c>
      <c r="B14" s="8" t="s">
        <v>19</v>
      </c>
    </row>
    <row r="15" customFormat="false" ht="15" hidden="false" customHeight="false" outlineLevel="0" collapsed="false">
      <c r="A15" s="8" t="s">
        <v>20</v>
      </c>
      <c r="B15" s="8" t="s">
        <v>21</v>
      </c>
    </row>
    <row r="16" customFormat="false" ht="15" hidden="false" customHeight="false" outlineLevel="0" collapsed="false">
      <c r="A16" s="8" t="s">
        <v>22</v>
      </c>
      <c r="B16" s="8" t="s">
        <v>23</v>
      </c>
    </row>
    <row r="17" customFormat="false" ht="15" hidden="false" customHeight="false" outlineLevel="0" collapsed="false">
      <c r="A17" s="3"/>
      <c r="B17" s="3"/>
    </row>
    <row r="18" customFormat="false" ht="19.5" hidden="false" customHeight="true" outlineLevel="0" collapsed="false">
      <c r="A18" s="4" t="s">
        <v>24</v>
      </c>
      <c r="B18" s="4"/>
    </row>
    <row r="19" customFormat="false" ht="30" hidden="false" customHeight="true" outlineLevel="0" collapsed="false">
      <c r="A19" s="5" t="s">
        <v>25</v>
      </c>
      <c r="B19" s="6" t="s">
        <v>26</v>
      </c>
    </row>
    <row r="20" customFormat="false" ht="18" hidden="false" customHeight="true" outlineLevel="0" collapsed="false">
      <c r="A20" s="5" t="s">
        <v>27</v>
      </c>
      <c r="B20" s="6" t="s">
        <v>28</v>
      </c>
    </row>
    <row r="21" customFormat="false" ht="18" hidden="false" customHeight="true" outlineLevel="0" collapsed="false">
      <c r="A21" s="5" t="s">
        <v>29</v>
      </c>
      <c r="B21" s="6" t="s">
        <v>30</v>
      </c>
    </row>
    <row r="22" customFormat="false" ht="18" hidden="false" customHeight="true" outlineLevel="0" collapsed="false">
      <c r="A22" s="5" t="s">
        <v>31</v>
      </c>
      <c r="B22" s="6" t="s">
        <v>32</v>
      </c>
    </row>
    <row r="23" customFormat="false" ht="18" hidden="false" customHeight="true" outlineLevel="0" collapsed="false">
      <c r="A23" s="5" t="s">
        <v>33</v>
      </c>
      <c r="B23" s="6" t="s">
        <v>34</v>
      </c>
    </row>
    <row r="24" customFormat="false" ht="30" hidden="false" customHeight="true" outlineLevel="0" collapsed="false">
      <c r="A24" s="5" t="s">
        <v>35</v>
      </c>
      <c r="B24" s="6" t="s">
        <v>36</v>
      </c>
    </row>
    <row r="25" customFormat="false" ht="18" hidden="false" customHeight="true" outlineLevel="0" collapsed="false">
      <c r="A25" s="5" t="s">
        <v>37</v>
      </c>
      <c r="B25" s="6" t="s">
        <v>38</v>
      </c>
    </row>
    <row r="26" customFormat="false" ht="15" hidden="false" customHeight="false" outlineLevel="0" collapsed="false">
      <c r="A26" s="3"/>
      <c r="B26" s="3"/>
    </row>
    <row r="27" customFormat="false" ht="19.5" hidden="false" customHeight="true" outlineLevel="0" collapsed="false">
      <c r="A27" s="4" t="s">
        <v>39</v>
      </c>
      <c r="B27" s="4"/>
    </row>
    <row r="28" customFormat="false" ht="15" hidden="false" customHeight="false" outlineLevel="0" collapsed="false">
      <c r="A28" s="9" t="s">
        <v>40</v>
      </c>
      <c r="B28" s="8" t="s">
        <v>41</v>
      </c>
    </row>
    <row r="29" customFormat="false" ht="15" hidden="false" customHeight="false" outlineLevel="0" collapsed="false">
      <c r="A29" s="9" t="s">
        <v>42</v>
      </c>
      <c r="B29" s="8" t="s">
        <v>43</v>
      </c>
    </row>
    <row r="30" customFormat="false" ht="15" hidden="false" customHeight="false" outlineLevel="0" collapsed="false">
      <c r="A30" s="9" t="s">
        <v>44</v>
      </c>
      <c r="B30" s="8" t="s">
        <v>45</v>
      </c>
    </row>
    <row r="31" customFormat="false" ht="15" hidden="false" customHeight="false" outlineLevel="0" collapsed="false">
      <c r="A31" s="9" t="s">
        <v>46</v>
      </c>
      <c r="B31" s="8" t="s">
        <v>47</v>
      </c>
    </row>
    <row r="32" customFormat="false" ht="15" hidden="false" customHeight="false" outlineLevel="0" collapsed="false">
      <c r="A32" s="9" t="s">
        <v>48</v>
      </c>
      <c r="B32" s="8" t="s">
        <v>49</v>
      </c>
    </row>
    <row r="33" customFormat="false" ht="15" hidden="false" customHeight="false" outlineLevel="0" collapsed="false">
      <c r="A33" s="9" t="s">
        <v>50</v>
      </c>
      <c r="B33" s="8" t="s">
        <v>51</v>
      </c>
    </row>
    <row r="34" customFormat="false" ht="15" hidden="false" customHeight="false" outlineLevel="0" collapsed="false">
      <c r="A34" s="9" t="s">
        <v>52</v>
      </c>
      <c r="B34" s="8" t="s">
        <v>53</v>
      </c>
    </row>
    <row r="35" customFormat="false" ht="15" hidden="false" customHeight="false" outlineLevel="0" collapsed="false">
      <c r="A35" s="9" t="s">
        <v>54</v>
      </c>
      <c r="B35" s="8" t="s">
        <v>55</v>
      </c>
    </row>
    <row r="36" customFormat="false" ht="15" hidden="false" customHeight="false" outlineLevel="0" collapsed="false">
      <c r="A36" s="3"/>
      <c r="B36" s="3"/>
    </row>
    <row r="37" customFormat="false" ht="15" hidden="false" customHeight="false" outlineLevel="0" collapsed="false">
      <c r="A37" s="10" t="s">
        <v>56</v>
      </c>
      <c r="B37" s="11" t="s">
        <v>57</v>
      </c>
    </row>
  </sheetData>
  <mergeCells count="6">
    <mergeCell ref="A1:B1"/>
    <mergeCell ref="A2:B2"/>
    <mergeCell ref="A4:B4"/>
    <mergeCell ref="A13:B13"/>
    <mergeCell ref="A18:B18"/>
    <mergeCell ref="A27:B27"/>
  </mergeCell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tru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6"/>
  </cols>
  <sheetData>
    <row r="1" customFormat="false" ht="30" hidden="false" customHeight="true" outlineLevel="0" collapsed="false">
      <c r="A1" s="1" t="s">
        <v>58</v>
      </c>
      <c r="B1" s="1"/>
      <c r="C1" s="1"/>
      <c r="D1" s="1"/>
    </row>
    <row r="2" customFormat="false" ht="15" hidden="false" customHeight="false" outlineLevel="0" collapsed="false">
      <c r="A2" s="2" t="s">
        <v>59</v>
      </c>
      <c r="B2" s="2"/>
      <c r="C2" s="2"/>
      <c r="D2" s="2"/>
    </row>
    <row r="3" customFormat="false" ht="15" hidden="false" customHeight="false" outlineLevel="0" collapsed="false">
      <c r="A3" s="3"/>
      <c r="B3" s="3"/>
      <c r="C3" s="3"/>
      <c r="D3" s="3"/>
    </row>
    <row r="4" customFormat="false" ht="19.5" hidden="false" customHeight="true" outlineLevel="0" collapsed="false">
      <c r="A4" s="4" t="s">
        <v>60</v>
      </c>
      <c r="B4" s="4"/>
      <c r="C4" s="4"/>
      <c r="D4" s="4"/>
    </row>
    <row r="5" customFormat="false" ht="15" hidden="false" customHeight="false" outlineLevel="0" collapsed="false">
      <c r="A5" s="9" t="s">
        <v>61</v>
      </c>
      <c r="B5" s="7" t="s">
        <v>62</v>
      </c>
      <c r="C5" s="12" t="s">
        <v>63</v>
      </c>
      <c r="D5" s="3"/>
    </row>
    <row r="6" customFormat="false" ht="15" hidden="false" customHeight="false" outlineLevel="0" collapsed="false">
      <c r="A6" s="9" t="s">
        <v>64</v>
      </c>
      <c r="B6" s="7" t="s">
        <v>65</v>
      </c>
      <c r="C6" s="12"/>
      <c r="D6" s="3"/>
    </row>
    <row r="7" customFormat="false" ht="15" hidden="false" customHeight="false" outlineLevel="0" collapsed="false">
      <c r="A7" s="9" t="s">
        <v>66</v>
      </c>
      <c r="B7" s="7" t="s">
        <v>67</v>
      </c>
      <c r="C7" s="12"/>
      <c r="D7" s="3"/>
    </row>
    <row r="8" customFormat="false" ht="15" hidden="false" customHeight="false" outlineLevel="0" collapsed="false">
      <c r="A8" s="9" t="s">
        <v>68</v>
      </c>
      <c r="B8" s="7" t="s">
        <v>69</v>
      </c>
      <c r="C8" s="12"/>
      <c r="D8" s="3"/>
    </row>
    <row r="9" customFormat="false" ht="15" hidden="false" customHeight="false" outlineLevel="0" collapsed="false">
      <c r="A9" s="9" t="s">
        <v>70</v>
      </c>
      <c r="B9" s="7" t="s">
        <v>71</v>
      </c>
      <c r="C9" s="12" t="s">
        <v>63</v>
      </c>
      <c r="D9" s="3"/>
    </row>
    <row r="10" customFormat="false" ht="15" hidden="false" customHeight="false" outlineLevel="0" collapsed="false">
      <c r="A10" s="9" t="s">
        <v>72</v>
      </c>
      <c r="B10" s="13" t="n">
        <v>60</v>
      </c>
      <c r="C10" s="12" t="s">
        <v>73</v>
      </c>
      <c r="D10" s="3"/>
    </row>
    <row r="11" customFormat="false" ht="15" hidden="false" customHeight="false" outlineLevel="0" collapsed="false">
      <c r="A11" s="9" t="s">
        <v>74</v>
      </c>
      <c r="B11" s="13" t="n">
        <v>50</v>
      </c>
      <c r="C11" s="12" t="s">
        <v>75</v>
      </c>
      <c r="D11" s="3"/>
    </row>
    <row r="12" customFormat="false" ht="15" hidden="false" customHeight="false" outlineLevel="0" collapsed="false">
      <c r="A12" s="9" t="s">
        <v>76</v>
      </c>
      <c r="B12" s="14" t="n">
        <v>0.75</v>
      </c>
      <c r="C12" s="12" t="s">
        <v>77</v>
      </c>
      <c r="D12" s="3"/>
    </row>
    <row r="13" customFormat="false" ht="15" hidden="false" customHeight="false" outlineLevel="0" collapsed="false">
      <c r="A13" s="9" t="s">
        <v>78</v>
      </c>
      <c r="B13" s="14" t="n">
        <v>0.4</v>
      </c>
      <c r="C13" s="12" t="s">
        <v>79</v>
      </c>
      <c r="D13" s="3"/>
    </row>
    <row r="14" customFormat="false" ht="15" hidden="false" customHeight="false" outlineLevel="0" collapsed="false">
      <c r="A14" s="9" t="s">
        <v>80</v>
      </c>
      <c r="B14" s="15" t="n">
        <f aca="false">1-B13</f>
        <v>0.6</v>
      </c>
      <c r="C14" s="12" t="s">
        <v>81</v>
      </c>
      <c r="D14" s="3"/>
    </row>
    <row r="15" customFormat="false" ht="15" hidden="false" customHeight="false" outlineLevel="0" collapsed="false">
      <c r="A15" s="9" t="s">
        <v>82</v>
      </c>
      <c r="B15" s="7" t="s">
        <v>83</v>
      </c>
      <c r="C15" s="12" t="s">
        <v>63</v>
      </c>
      <c r="D15" s="3"/>
    </row>
    <row r="16" customFormat="false" ht="15" hidden="false" customHeight="false" outlineLevel="0" collapsed="false">
      <c r="A16" s="3"/>
      <c r="B16" s="3"/>
      <c r="C16" s="3"/>
      <c r="D16" s="3"/>
    </row>
    <row r="17" customFormat="false" ht="19.5" hidden="false" customHeight="true" outlineLevel="0" collapsed="false">
      <c r="A17" s="4" t="s">
        <v>84</v>
      </c>
      <c r="B17" s="4"/>
      <c r="C17" s="4"/>
      <c r="D17" s="4"/>
    </row>
    <row r="18" customFormat="false" ht="21.75" hidden="false" customHeight="true" outlineLevel="0" collapsed="false">
      <c r="A18" s="16" t="s">
        <v>85</v>
      </c>
      <c r="B18" s="16" t="s">
        <v>86</v>
      </c>
      <c r="C18" s="16" t="s">
        <v>87</v>
      </c>
      <c r="D18" s="3"/>
    </row>
    <row r="19" customFormat="false" ht="15" hidden="false" customHeight="false" outlineLevel="0" collapsed="false">
      <c r="A19" s="17" t="n">
        <v>1</v>
      </c>
      <c r="B19" s="7" t="s">
        <v>88</v>
      </c>
      <c r="C19" s="7" t="s">
        <v>89</v>
      </c>
      <c r="D19" s="3"/>
    </row>
    <row r="20" customFormat="false" ht="15" hidden="false" customHeight="false" outlineLevel="0" collapsed="false">
      <c r="A20" s="17" t="n">
        <v>2</v>
      </c>
      <c r="B20" s="7" t="s">
        <v>90</v>
      </c>
      <c r="C20" s="7" t="s">
        <v>91</v>
      </c>
      <c r="D20" s="3"/>
    </row>
    <row r="21" customFormat="false" ht="15" hidden="false" customHeight="false" outlineLevel="0" collapsed="false">
      <c r="A21" s="17" t="n">
        <v>3</v>
      </c>
      <c r="B21" s="7" t="s">
        <v>92</v>
      </c>
      <c r="C21" s="7" t="s">
        <v>93</v>
      </c>
      <c r="D21" s="3"/>
    </row>
    <row r="22" customFormat="false" ht="15" hidden="false" customHeight="false" outlineLevel="0" collapsed="false">
      <c r="A22" s="17" t="n">
        <v>4</v>
      </c>
      <c r="B22" s="7" t="s">
        <v>94</v>
      </c>
      <c r="C22" s="7" t="s">
        <v>95</v>
      </c>
      <c r="D22" s="3"/>
    </row>
    <row r="23" customFormat="false" ht="15" hidden="false" customHeight="false" outlineLevel="0" collapsed="false">
      <c r="A23" s="17" t="n">
        <v>5</v>
      </c>
      <c r="B23" s="7" t="s">
        <v>96</v>
      </c>
      <c r="C23" s="7" t="s">
        <v>97</v>
      </c>
      <c r="D23" s="3"/>
    </row>
    <row r="24" customFormat="false" ht="15" hidden="false" customHeight="false" outlineLevel="0" collapsed="false">
      <c r="A24" s="17" t="n">
        <v>6</v>
      </c>
      <c r="B24" s="7" t="s">
        <v>98</v>
      </c>
      <c r="C24" s="7" t="s">
        <v>99</v>
      </c>
      <c r="D24" s="3"/>
    </row>
    <row r="25" customFormat="false" ht="15" hidden="false" customHeight="false" outlineLevel="0" collapsed="false">
      <c r="A25" s="3"/>
      <c r="B25" s="3"/>
      <c r="C25" s="3"/>
      <c r="D25" s="3"/>
    </row>
    <row r="26" customFormat="false" ht="19.5" hidden="false" customHeight="true" outlineLevel="0" collapsed="false">
      <c r="A26" s="4" t="s">
        <v>100</v>
      </c>
      <c r="B26" s="4"/>
      <c r="C26" s="4"/>
      <c r="D26" s="4"/>
    </row>
    <row r="27" customFormat="false" ht="21.75" hidden="false" customHeight="true" outlineLevel="0" collapsed="false">
      <c r="A27" s="16" t="s">
        <v>101</v>
      </c>
      <c r="B27" s="16" t="s">
        <v>102</v>
      </c>
      <c r="C27" s="16" t="s">
        <v>103</v>
      </c>
      <c r="D27" s="16" t="s">
        <v>104</v>
      </c>
    </row>
    <row r="28" customFormat="false" ht="15" hidden="false" customHeight="false" outlineLevel="0" collapsed="false">
      <c r="A28" s="18" t="n">
        <v>0</v>
      </c>
      <c r="B28" s="19" t="s">
        <v>105</v>
      </c>
      <c r="C28" s="7" t="s">
        <v>106</v>
      </c>
      <c r="D28" s="20" t="n">
        <v>0</v>
      </c>
    </row>
    <row r="29" customFormat="false" ht="15" hidden="false" customHeight="false" outlineLevel="0" collapsed="false">
      <c r="A29" s="18" t="n">
        <v>40</v>
      </c>
      <c r="B29" s="19" t="s">
        <v>107</v>
      </c>
      <c r="C29" s="7" t="s">
        <v>108</v>
      </c>
      <c r="D29" s="20" t="n">
        <v>0.5</v>
      </c>
    </row>
    <row r="30" customFormat="false" ht="15" hidden="false" customHeight="false" outlineLevel="0" collapsed="false">
      <c r="A30" s="18" t="n">
        <v>50</v>
      </c>
      <c r="B30" s="19" t="s">
        <v>109</v>
      </c>
      <c r="C30" s="7" t="s">
        <v>110</v>
      </c>
      <c r="D30" s="20" t="n">
        <v>1</v>
      </c>
    </row>
    <row r="31" customFormat="false" ht="15" hidden="false" customHeight="false" outlineLevel="0" collapsed="false">
      <c r="A31" s="18" t="n">
        <v>60</v>
      </c>
      <c r="B31" s="19" t="s">
        <v>111</v>
      </c>
      <c r="C31" s="7" t="s">
        <v>112</v>
      </c>
      <c r="D31" s="20" t="n">
        <v>2</v>
      </c>
    </row>
    <row r="32" customFormat="false" ht="15" hidden="false" customHeight="false" outlineLevel="0" collapsed="false">
      <c r="A32" s="18" t="n">
        <v>70</v>
      </c>
      <c r="B32" s="19" t="s">
        <v>113</v>
      </c>
      <c r="C32" s="7" t="s">
        <v>114</v>
      </c>
      <c r="D32" s="20" t="n">
        <v>3</v>
      </c>
    </row>
    <row r="33" customFormat="false" ht="15" hidden="false" customHeight="false" outlineLevel="0" collapsed="false">
      <c r="A33" s="18" t="n">
        <v>80</v>
      </c>
      <c r="B33" s="19" t="s">
        <v>115</v>
      </c>
      <c r="C33" s="7" t="s">
        <v>116</v>
      </c>
      <c r="D33" s="20" t="n">
        <v>4</v>
      </c>
    </row>
    <row r="34" customFormat="false" ht="15" hidden="false" customHeight="false" outlineLevel="0" collapsed="false">
      <c r="A34" s="3"/>
      <c r="B34" s="3"/>
      <c r="C34" s="3"/>
      <c r="D34" s="3"/>
    </row>
    <row r="35" customFormat="false" ht="19.5" hidden="false" customHeight="true" outlineLevel="0" collapsed="false">
      <c r="A35" s="4" t="s">
        <v>117</v>
      </c>
      <c r="B35" s="4"/>
      <c r="C35" s="4"/>
      <c r="D35" s="4"/>
    </row>
    <row r="36" customFormat="false" ht="21.75" hidden="false" customHeight="true" outlineLevel="0" collapsed="false">
      <c r="A36" s="16" t="s">
        <v>101</v>
      </c>
      <c r="B36" s="16" t="s">
        <v>118</v>
      </c>
      <c r="C36" s="3"/>
      <c r="D36" s="3"/>
    </row>
    <row r="37" customFormat="false" ht="15" hidden="false" customHeight="false" outlineLevel="0" collapsed="false">
      <c r="A37" s="21" t="n">
        <v>0</v>
      </c>
      <c r="B37" s="19" t="s">
        <v>119</v>
      </c>
      <c r="C37" s="3"/>
      <c r="D37" s="3"/>
    </row>
    <row r="38" customFormat="false" ht="15" hidden="false" customHeight="false" outlineLevel="0" collapsed="false">
      <c r="A38" s="21" t="n">
        <v>0.75</v>
      </c>
      <c r="B38" s="19" t="s">
        <v>120</v>
      </c>
      <c r="C38" s="3"/>
      <c r="D38" s="3"/>
    </row>
    <row r="39" customFormat="false" ht="15" hidden="false" customHeight="false" outlineLevel="0" collapsed="false">
      <c r="A39" s="21" t="n">
        <v>0.85</v>
      </c>
      <c r="B39" s="19" t="s">
        <v>112</v>
      </c>
      <c r="C39" s="3"/>
      <c r="D39" s="3"/>
    </row>
    <row r="40" customFormat="false" ht="15" hidden="false" customHeight="false" outlineLevel="0" collapsed="false">
      <c r="A40" s="21" t="n">
        <v>0.95</v>
      </c>
      <c r="B40" s="19" t="s">
        <v>116</v>
      </c>
      <c r="C40" s="3"/>
      <c r="D40" s="3"/>
    </row>
  </sheetData>
  <mergeCells count="6">
    <mergeCell ref="A1:D1"/>
    <mergeCell ref="A2:D2"/>
    <mergeCell ref="A4:D4"/>
    <mergeCell ref="A17:D17"/>
    <mergeCell ref="A26:D26"/>
    <mergeCell ref="A35:D35"/>
  </mergeCells>
  <dataValidations count="1">
    <dataValidation allowBlank="false" error="Enter a value between 0% and 100%." errorStyle="stop" errorTitle="Invalid weight" operator="between" showDropDown="false" showErrorMessage="true" showInputMessage="false" sqref="B12:B13" type="decimal">
      <formula1>0</formula1>
      <formula2>1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28"/>
  </cols>
  <sheetData>
    <row r="1" customFormat="false" ht="30" hidden="false" customHeight="true" outlineLevel="0" collapsed="false">
      <c r="A1" s="1" t="s">
        <v>121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122</v>
      </c>
      <c r="B2" s="2"/>
      <c r="C2" s="2"/>
      <c r="D2" s="2"/>
      <c r="E2" s="2"/>
    </row>
    <row r="3" customFormat="false" ht="15" hidden="false" customHeight="false" outlineLevel="0" collapsed="false">
      <c r="A3" s="22" t="s">
        <v>123</v>
      </c>
      <c r="B3" s="22"/>
      <c r="C3" s="3"/>
      <c r="D3" s="3"/>
      <c r="E3" s="3"/>
    </row>
    <row r="4" customFormat="false" ht="15" hidden="false" customHeight="false" outlineLevel="0" collapsed="false">
      <c r="A4" s="3"/>
      <c r="B4" s="3"/>
      <c r="C4" s="3"/>
      <c r="D4" s="3"/>
      <c r="E4" s="3"/>
    </row>
    <row r="5" customFormat="false" ht="31.5" hidden="false" customHeight="true" outlineLevel="0" collapsed="false">
      <c r="A5" s="16" t="s">
        <v>124</v>
      </c>
      <c r="B5" s="16" t="s">
        <v>125</v>
      </c>
      <c r="C5" s="16" t="s">
        <v>126</v>
      </c>
      <c r="D5" s="16" t="s">
        <v>127</v>
      </c>
      <c r="E5" s="16" t="s">
        <v>128</v>
      </c>
    </row>
    <row r="6" customFormat="false" ht="15" hidden="false" customHeight="false" outlineLevel="0" collapsed="false">
      <c r="A6" s="19" t="s">
        <v>129</v>
      </c>
      <c r="B6" s="7" t="s">
        <v>130</v>
      </c>
      <c r="C6" s="19" t="s">
        <v>131</v>
      </c>
      <c r="D6" s="23" t="n">
        <v>40911</v>
      </c>
      <c r="E6" s="7" t="s">
        <v>132</v>
      </c>
    </row>
    <row r="7" customFormat="false" ht="15" hidden="false" customHeight="false" outlineLevel="0" collapsed="false">
      <c r="A7" s="19" t="s">
        <v>133</v>
      </c>
      <c r="B7" s="7" t="s">
        <v>134</v>
      </c>
      <c r="C7" s="19" t="s">
        <v>135</v>
      </c>
      <c r="D7" s="23" t="n">
        <v>41435</v>
      </c>
      <c r="E7" s="7" t="s">
        <v>136</v>
      </c>
    </row>
    <row r="8" customFormat="false" ht="15" hidden="false" customHeight="false" outlineLevel="0" collapsed="false">
      <c r="A8" s="19" t="s">
        <v>137</v>
      </c>
      <c r="B8" s="7" t="s">
        <v>138</v>
      </c>
      <c r="C8" s="19" t="s">
        <v>131</v>
      </c>
      <c r="D8" s="23" t="n">
        <v>41230</v>
      </c>
      <c r="E8" s="7" t="s">
        <v>139</v>
      </c>
    </row>
    <row r="9" customFormat="false" ht="15" hidden="false" customHeight="false" outlineLevel="0" collapsed="false">
      <c r="A9" s="19" t="s">
        <v>140</v>
      </c>
      <c r="B9" s="7" t="s">
        <v>141</v>
      </c>
      <c r="C9" s="19" t="s">
        <v>135</v>
      </c>
      <c r="D9" s="23" t="n">
        <v>41388</v>
      </c>
      <c r="E9" s="7" t="s">
        <v>142</v>
      </c>
    </row>
    <row r="10" customFormat="false" ht="15" hidden="false" customHeight="false" outlineLevel="0" collapsed="false">
      <c r="A10" s="19" t="s">
        <v>143</v>
      </c>
      <c r="B10" s="7" t="s">
        <v>144</v>
      </c>
      <c r="C10" s="19" t="s">
        <v>131</v>
      </c>
      <c r="D10" s="23" t="n">
        <v>41159</v>
      </c>
      <c r="E10" s="7" t="s">
        <v>145</v>
      </c>
    </row>
    <row r="11" customFormat="false" ht="15" hidden="false" customHeight="false" outlineLevel="0" collapsed="false">
      <c r="A11" s="19" t="s">
        <v>146</v>
      </c>
      <c r="B11" s="7" t="s">
        <v>147</v>
      </c>
      <c r="C11" s="19" t="s">
        <v>135</v>
      </c>
      <c r="D11" s="23" t="n">
        <v>41319</v>
      </c>
      <c r="E11" s="7" t="s">
        <v>148</v>
      </c>
    </row>
    <row r="12" customFormat="false" ht="15" hidden="false" customHeight="false" outlineLevel="0" collapsed="false">
      <c r="A12" s="19" t="s">
        <v>149</v>
      </c>
      <c r="B12" s="7" t="s">
        <v>150</v>
      </c>
      <c r="C12" s="19" t="s">
        <v>131</v>
      </c>
      <c r="D12" s="23" t="n">
        <v>41111</v>
      </c>
      <c r="E12" s="7" t="s">
        <v>151</v>
      </c>
    </row>
    <row r="13" customFormat="false" ht="15" hidden="false" customHeight="false" outlineLevel="0" collapsed="false">
      <c r="A13" s="19" t="s">
        <v>152</v>
      </c>
      <c r="B13" s="7" t="s">
        <v>153</v>
      </c>
      <c r="C13" s="19" t="s">
        <v>135</v>
      </c>
      <c r="D13" s="23" t="n">
        <v>41612</v>
      </c>
      <c r="E13" s="7" t="s">
        <v>154</v>
      </c>
    </row>
    <row r="14" customFormat="false" ht="15" hidden="false" customHeight="false" outlineLevel="0" collapsed="false">
      <c r="A14" s="19" t="s">
        <v>155</v>
      </c>
      <c r="B14" s="7" t="s">
        <v>156</v>
      </c>
      <c r="C14" s="19" t="s">
        <v>131</v>
      </c>
      <c r="D14" s="23" t="n">
        <v>41040</v>
      </c>
      <c r="E14" s="7" t="s">
        <v>157</v>
      </c>
    </row>
    <row r="15" customFormat="false" ht="15" hidden="false" customHeight="false" outlineLevel="0" collapsed="false">
      <c r="A15" s="19" t="s">
        <v>158</v>
      </c>
      <c r="B15" s="7" t="s">
        <v>159</v>
      </c>
      <c r="C15" s="19" t="s">
        <v>135</v>
      </c>
      <c r="D15" s="23" t="n">
        <v>41565</v>
      </c>
      <c r="E15" s="7" t="s">
        <v>160</v>
      </c>
    </row>
    <row r="16" customFormat="false" ht="15" hidden="false" customHeight="false" outlineLevel="0" collapsed="false">
      <c r="A16" s="19" t="s">
        <v>161</v>
      </c>
      <c r="B16" s="7" t="s">
        <v>162</v>
      </c>
      <c r="C16" s="19" t="s">
        <v>131</v>
      </c>
      <c r="D16" s="23" t="n">
        <v>40993</v>
      </c>
      <c r="E16" s="7" t="s">
        <v>163</v>
      </c>
    </row>
    <row r="17" customFormat="false" ht="15" hidden="false" customHeight="false" outlineLevel="0" collapsed="false">
      <c r="A17" s="19" t="s">
        <v>164</v>
      </c>
      <c r="B17" s="7" t="s">
        <v>165</v>
      </c>
      <c r="C17" s="19" t="s">
        <v>135</v>
      </c>
      <c r="D17" s="23" t="n">
        <v>41494</v>
      </c>
      <c r="E17" s="7" t="s">
        <v>166</v>
      </c>
    </row>
    <row r="18" customFormat="false" ht="15" hidden="false" customHeight="false" outlineLevel="0" collapsed="false">
      <c r="A18" s="19"/>
      <c r="B18" s="7"/>
      <c r="C18" s="19"/>
      <c r="D18" s="23"/>
      <c r="E18" s="7"/>
    </row>
    <row r="19" customFormat="false" ht="15" hidden="false" customHeight="false" outlineLevel="0" collapsed="false">
      <c r="A19" s="19"/>
      <c r="B19" s="7"/>
      <c r="C19" s="19"/>
      <c r="D19" s="23"/>
      <c r="E19" s="7"/>
    </row>
    <row r="20" customFormat="false" ht="15" hidden="false" customHeight="false" outlineLevel="0" collapsed="false">
      <c r="A20" s="19"/>
      <c r="B20" s="7"/>
      <c r="C20" s="19"/>
      <c r="D20" s="23"/>
      <c r="E20" s="7"/>
    </row>
    <row r="21" customFormat="false" ht="15" hidden="false" customHeight="false" outlineLevel="0" collapsed="false">
      <c r="A21" s="19"/>
      <c r="B21" s="7"/>
      <c r="C21" s="19"/>
      <c r="D21" s="23"/>
      <c r="E21" s="7"/>
    </row>
    <row r="22" customFormat="false" ht="15" hidden="false" customHeight="false" outlineLevel="0" collapsed="false">
      <c r="A22" s="19"/>
      <c r="B22" s="7"/>
      <c r="C22" s="19"/>
      <c r="D22" s="23"/>
      <c r="E22" s="7"/>
    </row>
    <row r="23" customFormat="false" ht="15" hidden="false" customHeight="false" outlineLevel="0" collapsed="false">
      <c r="A23" s="19"/>
      <c r="B23" s="7"/>
      <c r="C23" s="19"/>
      <c r="D23" s="23"/>
      <c r="E23" s="7"/>
    </row>
    <row r="24" customFormat="false" ht="15" hidden="false" customHeight="false" outlineLevel="0" collapsed="false">
      <c r="A24" s="19"/>
      <c r="B24" s="7"/>
      <c r="C24" s="19"/>
      <c r="D24" s="23"/>
      <c r="E24" s="7"/>
    </row>
    <row r="25" customFormat="false" ht="15" hidden="false" customHeight="false" outlineLevel="0" collapsed="false">
      <c r="A25" s="19"/>
      <c r="B25" s="7"/>
      <c r="C25" s="19"/>
      <c r="D25" s="23"/>
      <c r="E25" s="7"/>
    </row>
    <row r="26" customFormat="false" ht="15" hidden="false" customHeight="false" outlineLevel="0" collapsed="false">
      <c r="A26" s="19"/>
      <c r="B26" s="7"/>
      <c r="C26" s="19"/>
      <c r="D26" s="23"/>
      <c r="E26" s="7"/>
    </row>
    <row r="27" customFormat="false" ht="15" hidden="false" customHeight="false" outlineLevel="0" collapsed="false">
      <c r="A27" s="19"/>
      <c r="B27" s="7"/>
      <c r="C27" s="19"/>
      <c r="D27" s="23"/>
      <c r="E27" s="7"/>
    </row>
    <row r="28" customFormat="false" ht="15" hidden="false" customHeight="false" outlineLevel="0" collapsed="false">
      <c r="A28" s="19"/>
      <c r="B28" s="7"/>
      <c r="C28" s="19"/>
      <c r="D28" s="23"/>
      <c r="E28" s="7"/>
    </row>
    <row r="29" customFormat="false" ht="15" hidden="false" customHeight="false" outlineLevel="0" collapsed="false">
      <c r="A29" s="19"/>
      <c r="B29" s="7"/>
      <c r="C29" s="19"/>
      <c r="D29" s="23"/>
      <c r="E29" s="7"/>
    </row>
    <row r="30" customFormat="false" ht="15" hidden="false" customHeight="false" outlineLevel="0" collapsed="false">
      <c r="A30" s="19"/>
      <c r="B30" s="7"/>
      <c r="C30" s="19"/>
      <c r="D30" s="23"/>
      <c r="E30" s="7"/>
    </row>
    <row r="31" customFormat="false" ht="15" hidden="false" customHeight="false" outlineLevel="0" collapsed="false">
      <c r="A31" s="19"/>
      <c r="B31" s="7"/>
      <c r="C31" s="19"/>
      <c r="D31" s="23"/>
      <c r="E31" s="7"/>
    </row>
    <row r="32" customFormat="false" ht="15" hidden="false" customHeight="false" outlineLevel="0" collapsed="false">
      <c r="A32" s="19"/>
      <c r="B32" s="7"/>
      <c r="C32" s="19"/>
      <c r="D32" s="23"/>
      <c r="E32" s="7"/>
    </row>
    <row r="33" customFormat="false" ht="15" hidden="false" customHeight="false" outlineLevel="0" collapsed="false">
      <c r="A33" s="19"/>
      <c r="B33" s="7"/>
      <c r="C33" s="19"/>
      <c r="D33" s="23"/>
      <c r="E33" s="7"/>
    </row>
    <row r="34" customFormat="false" ht="15" hidden="false" customHeight="false" outlineLevel="0" collapsed="false">
      <c r="A34" s="19"/>
      <c r="B34" s="7"/>
      <c r="C34" s="19"/>
      <c r="D34" s="23"/>
      <c r="E34" s="7"/>
    </row>
    <row r="35" customFormat="false" ht="15" hidden="false" customHeight="false" outlineLevel="0" collapsed="false">
      <c r="A35" s="19"/>
      <c r="B35" s="7"/>
      <c r="C35" s="19"/>
      <c r="D35" s="23"/>
      <c r="E35" s="7"/>
    </row>
    <row r="36" customFormat="false" ht="15" hidden="false" customHeight="false" outlineLevel="0" collapsed="false">
      <c r="A36" s="19"/>
      <c r="B36" s="7"/>
      <c r="C36" s="19"/>
      <c r="D36" s="23"/>
      <c r="E36" s="7"/>
    </row>
    <row r="37" customFormat="false" ht="15" hidden="false" customHeight="false" outlineLevel="0" collapsed="false">
      <c r="A37" s="19"/>
      <c r="B37" s="7"/>
      <c r="C37" s="19"/>
      <c r="D37" s="23"/>
      <c r="E37" s="7"/>
    </row>
    <row r="38" customFormat="false" ht="15" hidden="false" customHeight="false" outlineLevel="0" collapsed="false">
      <c r="A38" s="19"/>
      <c r="B38" s="7"/>
      <c r="C38" s="19"/>
      <c r="D38" s="23"/>
      <c r="E38" s="7"/>
    </row>
    <row r="39" customFormat="false" ht="15" hidden="false" customHeight="false" outlineLevel="0" collapsed="false">
      <c r="A39" s="19"/>
      <c r="B39" s="7"/>
      <c r="C39" s="19"/>
      <c r="D39" s="23"/>
      <c r="E39" s="7"/>
    </row>
    <row r="40" customFormat="false" ht="15" hidden="false" customHeight="false" outlineLevel="0" collapsed="false">
      <c r="A40" s="19"/>
      <c r="B40" s="7"/>
      <c r="C40" s="19"/>
      <c r="D40" s="23"/>
      <c r="E40" s="7"/>
    </row>
    <row r="41" customFormat="false" ht="15" hidden="false" customHeight="false" outlineLevel="0" collapsed="false">
      <c r="A41" s="19"/>
      <c r="B41" s="7"/>
      <c r="C41" s="19"/>
      <c r="D41" s="23"/>
      <c r="E41" s="7"/>
    </row>
    <row r="42" customFormat="false" ht="15" hidden="false" customHeight="false" outlineLevel="0" collapsed="false">
      <c r="A42" s="19"/>
      <c r="B42" s="7"/>
      <c r="C42" s="19"/>
      <c r="D42" s="23"/>
      <c r="E42" s="7"/>
    </row>
    <row r="43" customFormat="false" ht="15" hidden="false" customHeight="false" outlineLevel="0" collapsed="false">
      <c r="A43" s="19"/>
      <c r="B43" s="7"/>
      <c r="C43" s="19"/>
      <c r="D43" s="23"/>
      <c r="E43" s="7"/>
    </row>
    <row r="44" customFormat="false" ht="15" hidden="false" customHeight="false" outlineLevel="0" collapsed="false">
      <c r="A44" s="19"/>
      <c r="B44" s="7"/>
      <c r="C44" s="19"/>
      <c r="D44" s="23"/>
      <c r="E44" s="7"/>
    </row>
    <row r="45" customFormat="false" ht="15" hidden="false" customHeight="false" outlineLevel="0" collapsed="false">
      <c r="A45" s="19"/>
      <c r="B45" s="7"/>
      <c r="C45" s="19"/>
      <c r="D45" s="23"/>
      <c r="E45" s="7"/>
    </row>
  </sheetData>
  <mergeCells count="3">
    <mergeCell ref="A1:E1"/>
    <mergeCell ref="A2:E2"/>
    <mergeCell ref="A3:B3"/>
  </mergeCells>
  <dataValidations count="2">
    <dataValidation allowBlank="true" errorStyle="stop" operator="between" showDropDown="false" showErrorMessage="false" showInputMessage="false" sqref="C6:C45" type="list">
      <formula1>"Female,Male,Other"</formula1>
      <formula2>0</formula2>
    </dataValidation>
    <dataValidation allowBlank="true" error="This Student ID is already used." errorStyle="stop" errorTitle="Duplicate ID" operator="between" showDropDown="false" showErrorMessage="true" showInputMessage="false" sqref="A6:A45" type="custom">
      <formula1>COUNTIF($A$6:$A$45,A6)=1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N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14" min="3" style="0" width="11"/>
  </cols>
  <sheetData>
    <row r="1" customFormat="false" ht="30" hidden="false" customHeight="true" outlineLevel="0" collapsed="false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168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27.75" hidden="false" customHeight="true" outlineLevel="0" collapsed="false">
      <c r="A4" s="3"/>
      <c r="B4" s="3"/>
      <c r="C4" s="24" t="str">
        <f aca="false">IF(Settings!$B$19="","",Settings!$B$19)</f>
        <v>Mathematics</v>
      </c>
      <c r="D4" s="24"/>
      <c r="E4" s="24" t="str">
        <f aca="false">IF(Settings!$B$20="","",Settings!$B$20)</f>
        <v>English Language</v>
      </c>
      <c r="F4" s="24"/>
      <c r="G4" s="24" t="str">
        <f aca="false">IF(Settings!$B$21="","",Settings!$B$21)</f>
        <v>Science</v>
      </c>
      <c r="H4" s="24"/>
      <c r="I4" s="24" t="str">
        <f aca="false">IF(Settings!$B$22="","",Settings!$B$22)</f>
        <v>Social Studies</v>
      </c>
      <c r="J4" s="24"/>
      <c r="K4" s="24" t="str">
        <f aca="false">IF(Settings!$B$23="","",Settings!$B$23)</f>
        <v>ICT</v>
      </c>
      <c r="L4" s="24"/>
      <c r="M4" s="24" t="str">
        <f aca="false">IF(Settings!$B$24="","",Settings!$B$24)</f>
        <v>Creative Arts</v>
      </c>
      <c r="N4" s="24"/>
    </row>
    <row r="5" customFormat="false" ht="30" hidden="false" customHeight="true" outlineLevel="0" collapsed="false">
      <c r="A5" s="16" t="s">
        <v>124</v>
      </c>
      <c r="B5" s="16" t="s">
        <v>169</v>
      </c>
      <c r="C5" s="16" t="str">
        <f aca="false">"CA ("&amp;TEXT(Settings!$B$13,"0%")&amp;")"</f>
        <v>CA (40%)</v>
      </c>
      <c r="D5" s="16" t="str">
        <f aca="false">"Exam ("&amp;TEXT(Settings!$B$14,"0%")&amp;")"</f>
        <v>Exam (60%)</v>
      </c>
      <c r="E5" s="16" t="str">
        <f aca="false">"CA ("&amp;TEXT(Settings!$B$13,"0%")&amp;")"</f>
        <v>CA (40%)</v>
      </c>
      <c r="F5" s="16" t="str">
        <f aca="false">"Exam ("&amp;TEXT(Settings!$B$14,"0%")&amp;")"</f>
        <v>Exam (60%)</v>
      </c>
      <c r="G5" s="16" t="str">
        <f aca="false">"CA ("&amp;TEXT(Settings!$B$13,"0%")&amp;")"</f>
        <v>CA (40%)</v>
      </c>
      <c r="H5" s="16" t="str">
        <f aca="false">"Exam ("&amp;TEXT(Settings!$B$14,"0%")&amp;")"</f>
        <v>Exam (60%)</v>
      </c>
      <c r="I5" s="16" t="str">
        <f aca="false">"CA ("&amp;TEXT(Settings!$B$13,"0%")&amp;")"</f>
        <v>CA (40%)</v>
      </c>
      <c r="J5" s="16" t="str">
        <f aca="false">"Exam ("&amp;TEXT(Settings!$B$14,"0%")&amp;")"</f>
        <v>Exam (60%)</v>
      </c>
      <c r="K5" s="16" t="str">
        <f aca="false">"CA ("&amp;TEXT(Settings!$B$13,"0%")&amp;")"</f>
        <v>CA (40%)</v>
      </c>
      <c r="L5" s="16" t="str">
        <f aca="false">"Exam ("&amp;TEXT(Settings!$B$14,"0%")&amp;")"</f>
        <v>Exam (60%)</v>
      </c>
      <c r="M5" s="16" t="str">
        <f aca="false">"CA ("&amp;TEXT(Settings!$B$13,"0%")&amp;")"</f>
        <v>CA (40%)</v>
      </c>
      <c r="N5" s="16" t="str">
        <f aca="false">"Exam ("&amp;TEXT(Settings!$B$14,"0%")&amp;")"</f>
        <v>Exam (60%)</v>
      </c>
    </row>
    <row r="6" customFormat="false" ht="15" hidden="false" customHeight="false" outlineLevel="0" collapsed="false">
      <c r="A6" s="25" t="str">
        <f aca="false">IF(Students!A6="","",Students!A6)</f>
        <v>S001</v>
      </c>
      <c r="B6" s="26" t="str">
        <f aca="false">IF(Students!A6="","",Students!B6)</f>
        <v>Ava Thompson</v>
      </c>
      <c r="C6" s="20" t="n">
        <v>85</v>
      </c>
      <c r="D6" s="20" t="n">
        <v>79</v>
      </c>
      <c r="E6" s="20" t="n">
        <v>91</v>
      </c>
      <c r="F6" s="20" t="n">
        <v>78</v>
      </c>
      <c r="G6" s="20" t="n">
        <v>89</v>
      </c>
      <c r="H6" s="20" t="n">
        <v>84</v>
      </c>
      <c r="I6" s="20" t="n">
        <v>80</v>
      </c>
      <c r="J6" s="20" t="n">
        <v>87</v>
      </c>
      <c r="K6" s="20" t="n">
        <v>80</v>
      </c>
      <c r="L6" s="20" t="n">
        <v>86</v>
      </c>
      <c r="M6" s="20" t="n">
        <v>80</v>
      </c>
      <c r="N6" s="20" t="n">
        <v>78</v>
      </c>
    </row>
    <row r="7" customFormat="false" ht="15" hidden="false" customHeight="false" outlineLevel="0" collapsed="false">
      <c r="A7" s="25" t="str">
        <f aca="false">IF(Students!A7="","",Students!A7)</f>
        <v>S002</v>
      </c>
      <c r="B7" s="26" t="str">
        <f aca="false">IF(Students!A7="","",Students!B7)</f>
        <v>Noah Williams</v>
      </c>
      <c r="C7" s="20" t="n">
        <v>81</v>
      </c>
      <c r="D7" s="20" t="n">
        <v>88</v>
      </c>
      <c r="E7" s="20" t="n">
        <v>75</v>
      </c>
      <c r="F7" s="20" t="n">
        <v>75</v>
      </c>
      <c r="G7" s="20" t="n">
        <v>84</v>
      </c>
      <c r="H7" s="20" t="n">
        <v>91</v>
      </c>
      <c r="I7" s="20" t="n">
        <v>83</v>
      </c>
      <c r="J7" s="20" t="n">
        <v>79</v>
      </c>
      <c r="K7" s="20" t="n">
        <v>91</v>
      </c>
      <c r="L7" s="20" t="n">
        <v>71</v>
      </c>
      <c r="M7" s="20" t="n">
        <v>88</v>
      </c>
      <c r="N7" s="20" t="n">
        <v>76</v>
      </c>
    </row>
    <row r="8" customFormat="false" ht="15" hidden="false" customHeight="false" outlineLevel="0" collapsed="false">
      <c r="A8" s="25" t="str">
        <f aca="false">IF(Students!A8="","",Students!A8)</f>
        <v>S003</v>
      </c>
      <c r="B8" s="26" t="str">
        <f aca="false">IF(Students!A8="","",Students!B8)</f>
        <v>Mia Hernandez</v>
      </c>
      <c r="C8" s="20" t="n">
        <v>70</v>
      </c>
      <c r="D8" s="20" t="n">
        <v>67</v>
      </c>
      <c r="E8" s="20" t="n">
        <v>73</v>
      </c>
      <c r="F8" s="20" t="n">
        <v>82</v>
      </c>
      <c r="G8" s="20" t="n">
        <v>70</v>
      </c>
      <c r="H8" s="20" t="n">
        <v>77</v>
      </c>
      <c r="I8" s="20" t="n">
        <v>79</v>
      </c>
      <c r="J8" s="20" t="n">
        <v>72</v>
      </c>
      <c r="K8" s="20" t="n">
        <v>77</v>
      </c>
      <c r="L8" s="20" t="n">
        <v>65</v>
      </c>
      <c r="M8" s="20" t="n">
        <v>68</v>
      </c>
      <c r="N8" s="20" t="n">
        <v>69</v>
      </c>
    </row>
    <row r="9" customFormat="false" ht="15" hidden="false" customHeight="false" outlineLevel="0" collapsed="false">
      <c r="A9" s="25" t="str">
        <f aca="false">IF(Students!A9="","",Students!A9)</f>
        <v>S004</v>
      </c>
      <c r="B9" s="26" t="str">
        <f aca="false">IF(Students!A9="","",Students!B9)</f>
        <v>Ethan Brown</v>
      </c>
      <c r="C9" s="20" t="n">
        <v>74</v>
      </c>
      <c r="D9" s="20" t="n">
        <v>68</v>
      </c>
      <c r="E9" s="20" t="n">
        <v>68</v>
      </c>
      <c r="F9" s="20" t="n">
        <v>72</v>
      </c>
      <c r="G9" s="20" t="n">
        <v>70</v>
      </c>
      <c r="H9" s="20" t="n">
        <v>66</v>
      </c>
      <c r="I9" s="20" t="n">
        <v>76</v>
      </c>
      <c r="J9" s="20" t="n">
        <v>74</v>
      </c>
      <c r="K9" s="20" t="n">
        <v>66</v>
      </c>
      <c r="L9" s="20" t="n">
        <v>72</v>
      </c>
      <c r="M9" s="20" t="n">
        <v>71</v>
      </c>
      <c r="N9" s="20" t="n">
        <v>78</v>
      </c>
    </row>
    <row r="10" customFormat="false" ht="15" hidden="false" customHeight="false" outlineLevel="0" collapsed="false">
      <c r="A10" s="25" t="str">
        <f aca="false">IF(Students!A10="","",Students!A10)</f>
        <v>S005</v>
      </c>
      <c r="B10" s="26" t="str">
        <f aca="false">IF(Students!A10="","",Students!B10)</f>
        <v>Zara Khan</v>
      </c>
      <c r="C10" s="20" t="n">
        <v>70</v>
      </c>
      <c r="D10" s="20" t="n">
        <v>60</v>
      </c>
      <c r="E10" s="20" t="n">
        <v>75</v>
      </c>
      <c r="F10" s="20" t="n">
        <v>57</v>
      </c>
      <c r="G10" s="20" t="n">
        <v>65</v>
      </c>
      <c r="H10" s="20" t="n">
        <v>71</v>
      </c>
      <c r="I10" s="20" t="n">
        <v>60</v>
      </c>
      <c r="J10" s="20" t="n">
        <v>65</v>
      </c>
      <c r="K10" s="20" t="n">
        <v>58</v>
      </c>
      <c r="L10" s="20" t="n">
        <v>69</v>
      </c>
      <c r="M10" s="20" t="n">
        <v>71</v>
      </c>
      <c r="N10" s="20" t="n">
        <v>67</v>
      </c>
    </row>
    <row r="11" customFormat="false" ht="15" hidden="false" customHeight="false" outlineLevel="0" collapsed="false">
      <c r="A11" s="25" t="str">
        <f aca="false">IF(Students!A11="","",Students!A11)</f>
        <v>S006</v>
      </c>
      <c r="B11" s="26" t="str">
        <f aca="false">IF(Students!A11="","",Students!B11)</f>
        <v>Lucas Martin</v>
      </c>
      <c r="C11" s="20" t="n">
        <v>69</v>
      </c>
      <c r="D11" s="20" t="n">
        <v>57</v>
      </c>
      <c r="E11" s="20" t="n">
        <v>66</v>
      </c>
      <c r="F11" s="20" t="n">
        <v>63</v>
      </c>
      <c r="G11" s="20" t="n">
        <v>63</v>
      </c>
      <c r="H11" s="20" t="n">
        <v>60</v>
      </c>
      <c r="I11" s="20" t="n">
        <v>68</v>
      </c>
      <c r="J11" s="20" t="n">
        <v>71</v>
      </c>
      <c r="K11" s="20" t="n">
        <v>62</v>
      </c>
      <c r="L11" s="20" t="n">
        <v>65</v>
      </c>
      <c r="M11" s="20" t="n">
        <v>54</v>
      </c>
      <c r="N11" s="20" t="n">
        <v>65</v>
      </c>
    </row>
    <row r="12" customFormat="false" ht="15" hidden="false" customHeight="false" outlineLevel="0" collapsed="false">
      <c r="A12" s="25" t="str">
        <f aca="false">IF(Students!A12="","",Students!A12)</f>
        <v>S007</v>
      </c>
      <c r="B12" s="26" t="str">
        <f aca="false">IF(Students!A12="","",Students!B12)</f>
        <v>Chloe Nguyen</v>
      </c>
      <c r="C12" s="20" t="n">
        <v>61</v>
      </c>
      <c r="D12" s="20" t="n">
        <v>68</v>
      </c>
      <c r="E12" s="20" t="n">
        <v>64</v>
      </c>
      <c r="F12" s="20" t="n">
        <v>52</v>
      </c>
      <c r="G12" s="20" t="n">
        <v>56</v>
      </c>
      <c r="H12" s="20" t="n">
        <v>61</v>
      </c>
      <c r="I12" s="20" t="n">
        <v>49</v>
      </c>
      <c r="J12" s="20" t="n">
        <v>56</v>
      </c>
      <c r="K12" s="20" t="n">
        <v>52</v>
      </c>
      <c r="L12" s="20" t="n">
        <v>49</v>
      </c>
      <c r="M12" s="20" t="n">
        <v>50</v>
      </c>
      <c r="N12" s="20" t="n">
        <v>63</v>
      </c>
    </row>
    <row r="13" customFormat="false" ht="15" hidden="false" customHeight="false" outlineLevel="0" collapsed="false">
      <c r="A13" s="25" t="str">
        <f aca="false">IF(Students!A13="","",Students!A13)</f>
        <v>S008</v>
      </c>
      <c r="B13" s="26" t="str">
        <f aca="false">IF(Students!A13="","",Students!B13)</f>
        <v>Daniel Kim</v>
      </c>
      <c r="C13" s="20" t="n">
        <v>48</v>
      </c>
      <c r="D13" s="20" t="n">
        <v>48</v>
      </c>
      <c r="E13" s="20" t="n">
        <v>53</v>
      </c>
      <c r="F13" s="20" t="n">
        <v>62</v>
      </c>
      <c r="G13" s="20" t="n">
        <v>47</v>
      </c>
      <c r="H13" s="20" t="n">
        <v>53</v>
      </c>
      <c r="I13" s="20" t="n">
        <v>56</v>
      </c>
      <c r="J13" s="20" t="n">
        <v>62</v>
      </c>
      <c r="K13" s="20" t="n">
        <v>61</v>
      </c>
      <c r="L13" s="20" t="n">
        <v>62</v>
      </c>
      <c r="M13" s="20" t="n">
        <v>51</v>
      </c>
      <c r="N13" s="20" t="n">
        <v>52</v>
      </c>
    </row>
    <row r="14" customFormat="false" ht="15" hidden="false" customHeight="false" outlineLevel="0" collapsed="false">
      <c r="A14" s="25" t="str">
        <f aca="false">IF(Students!A14="","",Students!A14)</f>
        <v>S009</v>
      </c>
      <c r="B14" s="26" t="str">
        <f aca="false">IF(Students!A14="","",Students!B14)</f>
        <v>Grace Adeyemi</v>
      </c>
      <c r="C14" s="20" t="n">
        <v>47</v>
      </c>
      <c r="D14" s="20" t="n">
        <v>57</v>
      </c>
      <c r="E14" s="20" t="n">
        <v>58</v>
      </c>
      <c r="F14" s="20" t="n">
        <v>41</v>
      </c>
      <c r="G14" s="20" t="n">
        <v>44</v>
      </c>
      <c r="H14" s="20" t="n">
        <v>43</v>
      </c>
      <c r="I14" s="20" t="n">
        <v>45</v>
      </c>
      <c r="J14" s="20" t="n">
        <v>49</v>
      </c>
      <c r="K14" s="20" t="n">
        <v>52</v>
      </c>
      <c r="L14" s="20" t="n">
        <v>44</v>
      </c>
      <c r="M14" s="20" t="n">
        <v>41</v>
      </c>
      <c r="N14" s="20" t="n">
        <v>47</v>
      </c>
    </row>
    <row r="15" customFormat="false" ht="15" hidden="false" customHeight="false" outlineLevel="0" collapsed="false">
      <c r="A15" s="25" t="str">
        <f aca="false">IF(Students!A15="","",Students!A15)</f>
        <v>S010</v>
      </c>
      <c r="B15" s="26" t="str">
        <f aca="false">IF(Students!A15="","",Students!B15)</f>
        <v>Oliver Patel</v>
      </c>
      <c r="C15" s="20" t="n">
        <v>44</v>
      </c>
      <c r="D15" s="20" t="n">
        <v>46</v>
      </c>
      <c r="E15" s="20" t="n">
        <v>54</v>
      </c>
      <c r="F15" s="20" t="n">
        <v>49</v>
      </c>
      <c r="G15" s="20" t="n">
        <v>46</v>
      </c>
      <c r="H15" s="20" t="n">
        <v>48</v>
      </c>
      <c r="I15" s="20" t="n">
        <v>49</v>
      </c>
      <c r="J15" s="20" t="n">
        <v>35</v>
      </c>
      <c r="K15" s="20" t="n">
        <v>53</v>
      </c>
      <c r="L15" s="20" t="n">
        <v>51</v>
      </c>
      <c r="M15" s="20" t="n">
        <v>53</v>
      </c>
      <c r="N15" s="20" t="n">
        <v>52</v>
      </c>
    </row>
    <row r="16" customFormat="false" ht="15" hidden="false" customHeight="false" outlineLevel="0" collapsed="false">
      <c r="A16" s="25" t="str">
        <f aca="false">IF(Students!A16="","",Students!A16)</f>
        <v>S011</v>
      </c>
      <c r="B16" s="26" t="str">
        <f aca="false">IF(Students!A16="","",Students!B16)</f>
        <v>Isabella Rossi</v>
      </c>
      <c r="C16" s="20" t="n">
        <v>38</v>
      </c>
      <c r="D16" s="20" t="n">
        <v>37</v>
      </c>
      <c r="E16" s="20" t="n">
        <v>33</v>
      </c>
      <c r="F16" s="20" t="n">
        <v>42</v>
      </c>
      <c r="G16" s="20" t="n">
        <v>32</v>
      </c>
      <c r="H16" s="20" t="n">
        <v>29</v>
      </c>
      <c r="I16" s="20" t="n">
        <v>35</v>
      </c>
      <c r="J16" s="20" t="n">
        <v>32</v>
      </c>
      <c r="K16" s="20" t="n">
        <v>37</v>
      </c>
      <c r="L16" s="20" t="n">
        <v>29</v>
      </c>
      <c r="M16" s="20" t="n">
        <v>31</v>
      </c>
      <c r="N16" s="20" t="n">
        <v>31</v>
      </c>
    </row>
    <row r="17" customFormat="false" ht="15" hidden="false" customHeight="false" outlineLevel="0" collapsed="false">
      <c r="A17" s="25" t="str">
        <f aca="false">IF(Students!A17="","",Students!A17)</f>
        <v>S012</v>
      </c>
      <c r="B17" s="26" t="str">
        <f aca="false">IF(Students!A17="","",Students!B17)</f>
        <v>Samuel Lee</v>
      </c>
      <c r="C17" s="20" t="n">
        <v>63</v>
      </c>
      <c r="D17" s="20" t="n">
        <v>66</v>
      </c>
      <c r="E17" s="20" t="n">
        <v>61</v>
      </c>
      <c r="F17" s="20" t="n">
        <v>77</v>
      </c>
      <c r="G17" s="20" t="n">
        <v>72</v>
      </c>
      <c r="H17" s="20" t="n">
        <v>61</v>
      </c>
      <c r="I17" s="20" t="n">
        <v>66</v>
      </c>
      <c r="J17" s="20" t="n">
        <v>66</v>
      </c>
      <c r="K17" s="20" t="n">
        <v>68</v>
      </c>
      <c r="L17" s="20" t="n">
        <v>61</v>
      </c>
      <c r="M17" s="20" t="n">
        <v>76</v>
      </c>
      <c r="N17" s="20" t="n">
        <v>80</v>
      </c>
    </row>
    <row r="18" customFormat="false" ht="15" hidden="false" customHeight="false" outlineLevel="0" collapsed="false">
      <c r="A18" s="25" t="str">
        <f aca="false">IF(Students!A18="","",Students!A18)</f>
        <v/>
      </c>
      <c r="B18" s="26" t="str">
        <f aca="false">IF(Students!A18="","",Students!B18)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customFormat="false" ht="15" hidden="false" customHeight="false" outlineLevel="0" collapsed="false">
      <c r="A19" s="25" t="str">
        <f aca="false">IF(Students!A19="","",Students!A19)</f>
        <v/>
      </c>
      <c r="B19" s="26" t="str">
        <f aca="false">IF(Students!A19="","",Students!B19)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customFormat="false" ht="15" hidden="false" customHeight="false" outlineLevel="0" collapsed="false">
      <c r="A20" s="25" t="str">
        <f aca="false">IF(Students!A20="","",Students!A20)</f>
        <v/>
      </c>
      <c r="B20" s="26" t="str">
        <f aca="false">IF(Students!A20="","",Students!B20)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customFormat="false" ht="15" hidden="false" customHeight="false" outlineLevel="0" collapsed="false">
      <c r="A21" s="25" t="str">
        <f aca="false">IF(Students!A21="","",Students!A21)</f>
        <v/>
      </c>
      <c r="B21" s="26" t="str">
        <f aca="false">IF(Students!A21="","",Students!B21)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customFormat="false" ht="15" hidden="false" customHeight="false" outlineLevel="0" collapsed="false">
      <c r="A22" s="25" t="str">
        <f aca="false">IF(Students!A22="","",Students!A22)</f>
        <v/>
      </c>
      <c r="B22" s="26" t="str">
        <f aca="false">IF(Students!A22="","",Students!B22)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customFormat="false" ht="15" hidden="false" customHeight="false" outlineLevel="0" collapsed="false">
      <c r="A23" s="25" t="str">
        <f aca="false">IF(Students!A23="","",Students!A23)</f>
        <v/>
      </c>
      <c r="B23" s="26" t="str">
        <f aca="false">IF(Students!A23="","",Students!B23)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customFormat="false" ht="15" hidden="false" customHeight="false" outlineLevel="0" collapsed="false">
      <c r="A24" s="25" t="str">
        <f aca="false">IF(Students!A24="","",Students!A24)</f>
        <v/>
      </c>
      <c r="B24" s="26" t="str">
        <f aca="false">IF(Students!A24="","",Students!B24)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customFormat="false" ht="15" hidden="false" customHeight="false" outlineLevel="0" collapsed="false">
      <c r="A25" s="25" t="str">
        <f aca="false">IF(Students!A25="","",Students!A25)</f>
        <v/>
      </c>
      <c r="B25" s="26" t="str">
        <f aca="false">IF(Students!A25="","",Students!B25)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customFormat="false" ht="15" hidden="false" customHeight="false" outlineLevel="0" collapsed="false">
      <c r="A26" s="25" t="str">
        <f aca="false">IF(Students!A26="","",Students!A26)</f>
        <v/>
      </c>
      <c r="B26" s="26" t="str">
        <f aca="false">IF(Students!A26="","",Students!B26)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customFormat="false" ht="15" hidden="false" customHeight="false" outlineLevel="0" collapsed="false">
      <c r="A27" s="25" t="str">
        <f aca="false">IF(Students!A27="","",Students!A27)</f>
        <v/>
      </c>
      <c r="B27" s="26" t="str">
        <f aca="false">IF(Students!A27="","",Students!B27)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customFormat="false" ht="15" hidden="false" customHeight="false" outlineLevel="0" collapsed="false">
      <c r="A28" s="25" t="str">
        <f aca="false">IF(Students!A28="","",Students!A28)</f>
        <v/>
      </c>
      <c r="B28" s="26" t="str">
        <f aca="false">IF(Students!A28="","",Students!B28)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customFormat="false" ht="15" hidden="false" customHeight="false" outlineLevel="0" collapsed="false">
      <c r="A29" s="25" t="str">
        <f aca="false">IF(Students!A29="","",Students!A29)</f>
        <v/>
      </c>
      <c r="B29" s="26" t="str">
        <f aca="false">IF(Students!A29="","",Students!B29)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customFormat="false" ht="15" hidden="false" customHeight="false" outlineLevel="0" collapsed="false">
      <c r="A30" s="25" t="str">
        <f aca="false">IF(Students!A30="","",Students!A30)</f>
        <v/>
      </c>
      <c r="B30" s="26" t="str">
        <f aca="false">IF(Students!A30="","",Students!B30)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customFormat="false" ht="15" hidden="false" customHeight="false" outlineLevel="0" collapsed="false">
      <c r="A31" s="25" t="str">
        <f aca="false">IF(Students!A31="","",Students!A31)</f>
        <v/>
      </c>
      <c r="B31" s="26" t="str">
        <f aca="false">IF(Students!A31="","",Students!B31)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customFormat="false" ht="15" hidden="false" customHeight="false" outlineLevel="0" collapsed="false">
      <c r="A32" s="25" t="str">
        <f aca="false">IF(Students!A32="","",Students!A32)</f>
        <v/>
      </c>
      <c r="B32" s="26" t="str">
        <f aca="false">IF(Students!A32="","",Students!B32)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customFormat="false" ht="15" hidden="false" customHeight="false" outlineLevel="0" collapsed="false">
      <c r="A33" s="25" t="str">
        <f aca="false">IF(Students!A33="","",Students!A33)</f>
        <v/>
      </c>
      <c r="B33" s="26" t="str">
        <f aca="false">IF(Students!A33="","",Students!B33)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customFormat="false" ht="15" hidden="false" customHeight="false" outlineLevel="0" collapsed="false">
      <c r="A34" s="25" t="str">
        <f aca="false">IF(Students!A34="","",Students!A34)</f>
        <v/>
      </c>
      <c r="B34" s="26" t="str">
        <f aca="false">IF(Students!A34="","",Students!B34)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customFormat="false" ht="15" hidden="false" customHeight="false" outlineLevel="0" collapsed="false">
      <c r="A35" s="25" t="str">
        <f aca="false">IF(Students!A35="","",Students!A35)</f>
        <v/>
      </c>
      <c r="B35" s="26" t="str">
        <f aca="false">IF(Students!A35="","",Students!B35)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customFormat="false" ht="15" hidden="false" customHeight="false" outlineLevel="0" collapsed="false">
      <c r="A36" s="25" t="str">
        <f aca="false">IF(Students!A36="","",Students!A36)</f>
        <v/>
      </c>
      <c r="B36" s="26" t="str">
        <f aca="false">IF(Students!A36="","",Students!B36)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customFormat="false" ht="15" hidden="false" customHeight="false" outlineLevel="0" collapsed="false">
      <c r="A37" s="25" t="str">
        <f aca="false">IF(Students!A37="","",Students!A37)</f>
        <v/>
      </c>
      <c r="B37" s="26" t="str">
        <f aca="false">IF(Students!A37="","",Students!B37)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customFormat="false" ht="15" hidden="false" customHeight="false" outlineLevel="0" collapsed="false">
      <c r="A38" s="25" t="str">
        <f aca="false">IF(Students!A38="","",Students!A38)</f>
        <v/>
      </c>
      <c r="B38" s="26" t="str">
        <f aca="false">IF(Students!A38="","",Students!B38)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customFormat="false" ht="15" hidden="false" customHeight="false" outlineLevel="0" collapsed="false">
      <c r="A39" s="25" t="str">
        <f aca="false">IF(Students!A39="","",Students!A39)</f>
        <v/>
      </c>
      <c r="B39" s="26" t="str">
        <f aca="false">IF(Students!A39="","",Students!B39)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customFormat="false" ht="15" hidden="false" customHeight="false" outlineLevel="0" collapsed="false">
      <c r="A40" s="25" t="str">
        <f aca="false">IF(Students!A40="","",Students!A40)</f>
        <v/>
      </c>
      <c r="B40" s="26" t="str">
        <f aca="false">IF(Students!A40="","",Students!B40)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customFormat="false" ht="15" hidden="false" customHeight="false" outlineLevel="0" collapsed="false">
      <c r="A41" s="25" t="str">
        <f aca="false">IF(Students!A41="","",Students!A41)</f>
        <v/>
      </c>
      <c r="B41" s="26" t="str">
        <f aca="false">IF(Students!A41="","",Students!B41)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customFormat="false" ht="15" hidden="false" customHeight="false" outlineLevel="0" collapsed="false">
      <c r="A42" s="25" t="str">
        <f aca="false">IF(Students!A42="","",Students!A42)</f>
        <v/>
      </c>
      <c r="B42" s="26" t="str">
        <f aca="false">IF(Students!A42="","",Students!B42)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customFormat="false" ht="15" hidden="false" customHeight="false" outlineLevel="0" collapsed="false">
      <c r="A43" s="25" t="str">
        <f aca="false">IF(Students!A43="","",Students!A43)</f>
        <v/>
      </c>
      <c r="B43" s="26" t="str">
        <f aca="false">IF(Students!A43="","",Students!B43)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customFormat="false" ht="15" hidden="false" customHeight="false" outlineLevel="0" collapsed="false">
      <c r="A44" s="25" t="str">
        <f aca="false">IF(Students!A44="","",Students!A44)</f>
        <v/>
      </c>
      <c r="B44" s="26" t="str">
        <f aca="false">IF(Students!A44="","",Students!B44)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customFormat="false" ht="15" hidden="false" customHeight="false" outlineLevel="0" collapsed="false">
      <c r="A45" s="25" t="str">
        <f aca="false">IF(Students!A45="","",Students!A45)</f>
        <v/>
      </c>
      <c r="B45" s="26" t="str">
        <f aca="false">IF(Students!A45="","",Students!B45)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</sheetData>
  <mergeCells count="8">
    <mergeCell ref="A1:N1"/>
    <mergeCell ref="A2:N2"/>
    <mergeCell ref="C4:D4"/>
    <mergeCell ref="E4:F4"/>
    <mergeCell ref="G4:H4"/>
    <mergeCell ref="I4:J4"/>
    <mergeCell ref="K4:L4"/>
    <mergeCell ref="M4:N4"/>
  </mergeCells>
  <dataValidations count="1">
    <dataValidation allowBlank="true" error="Scores must be between 0 and 100." errorStyle="stop" errorTitle="Invalid score" operator="between" showDropDown="false" showErrorMessage="true" showInputMessage="false" sqref="C6:N45" type="decimal">
      <formula1>0</formula1>
      <formula2>100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8"/>
  </cols>
  <sheetData>
    <row r="1" customFormat="false" ht="30" hidden="false" customHeight="true" outlineLevel="0" collapsed="false">
      <c r="A1" s="1" t="s">
        <v>170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171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7" t="s">
        <v>172</v>
      </c>
      <c r="B3" s="27"/>
      <c r="C3" s="28" t="n">
        <f aca="false">Settings!B10</f>
        <v>60</v>
      </c>
      <c r="D3" s="3"/>
      <c r="E3" s="3"/>
      <c r="F3" s="3"/>
      <c r="G3" s="3"/>
      <c r="H3" s="3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</row>
    <row r="5" customFormat="false" ht="31.5" hidden="false" customHeight="true" outlineLevel="0" collapsed="false">
      <c r="A5" s="16" t="s">
        <v>124</v>
      </c>
      <c r="B5" s="16" t="s">
        <v>169</v>
      </c>
      <c r="C5" s="16" t="s">
        <v>173</v>
      </c>
      <c r="D5" s="16" t="s">
        <v>174</v>
      </c>
      <c r="E5" s="16" t="s">
        <v>175</v>
      </c>
      <c r="F5" s="16" t="s">
        <v>33</v>
      </c>
      <c r="G5" s="16" t="s">
        <v>118</v>
      </c>
      <c r="H5" s="16" t="s">
        <v>176</v>
      </c>
    </row>
    <row r="6" customFormat="false" ht="15" hidden="false" customHeight="false" outlineLevel="0" collapsed="false">
      <c r="A6" s="25" t="str">
        <f aca="false">IF(Students!A6="","",Students!A6)</f>
        <v>S001</v>
      </c>
      <c r="B6" s="26" t="str">
        <f aca="false">IF(Students!A6="","",Students!B6)</f>
        <v>Ava Thompson</v>
      </c>
      <c r="C6" s="18" t="n">
        <v>59</v>
      </c>
      <c r="D6" s="18" t="n">
        <v>0</v>
      </c>
      <c r="E6" s="29" t="n">
        <f aca="false">IF(OR($A6="",$C6=""),"",Settings!$B$10-$C6)</f>
        <v>1</v>
      </c>
      <c r="F6" s="30" t="n">
        <f aca="false">IF(OR($A6="",$C6=""),"",$C6/Settings!$B$10)</f>
        <v>0.983333333333333</v>
      </c>
      <c r="G6" s="17" t="str">
        <f aca="false">IF(F6="","",INDEX(Settings!$B$37:$B$40,MATCH(F6,Settings!$A$37:$A$40,1)))</f>
        <v>Excellent</v>
      </c>
      <c r="H6" s="17" t="str">
        <f aca="false">IF(F6="","",IF(F6&lt;Settings!$B$12,"Below minimum","OK"))</f>
        <v>OK</v>
      </c>
    </row>
    <row r="7" customFormat="false" ht="15" hidden="false" customHeight="false" outlineLevel="0" collapsed="false">
      <c r="A7" s="25" t="str">
        <f aca="false">IF(Students!A7="","",Students!A7)</f>
        <v>S002</v>
      </c>
      <c r="B7" s="26" t="str">
        <f aca="false">IF(Students!A7="","",Students!B7)</f>
        <v>Noah Williams</v>
      </c>
      <c r="C7" s="18" t="n">
        <v>58</v>
      </c>
      <c r="D7" s="18" t="n">
        <v>1</v>
      </c>
      <c r="E7" s="29" t="n">
        <f aca="false">IF(OR($A7="",$C7=""),"",Settings!$B$10-$C7)</f>
        <v>2</v>
      </c>
      <c r="F7" s="30" t="n">
        <f aca="false">IF(OR($A7="",$C7=""),"",$C7/Settings!$B$10)</f>
        <v>0.966666666666667</v>
      </c>
      <c r="G7" s="17" t="str">
        <f aca="false">IF(F7="","",INDEX(Settings!$B$37:$B$40,MATCH(F7,Settings!$A$37:$A$40,1)))</f>
        <v>Excellent</v>
      </c>
      <c r="H7" s="17" t="str">
        <f aca="false">IF(F7="","",IF(F7&lt;Settings!$B$12,"Below minimum","OK"))</f>
        <v>OK</v>
      </c>
    </row>
    <row r="8" customFormat="false" ht="15" hidden="false" customHeight="false" outlineLevel="0" collapsed="false">
      <c r="A8" s="25" t="str">
        <f aca="false">IF(Students!A8="","",Students!A8)</f>
        <v>S003</v>
      </c>
      <c r="B8" s="26" t="str">
        <f aca="false">IF(Students!A8="","",Students!B8)</f>
        <v>Mia Hernandez</v>
      </c>
      <c r="C8" s="18" t="n">
        <v>57</v>
      </c>
      <c r="D8" s="18" t="n">
        <v>0</v>
      </c>
      <c r="E8" s="29" t="n">
        <f aca="false">IF(OR($A8="",$C8=""),"",Settings!$B$10-$C8)</f>
        <v>3</v>
      </c>
      <c r="F8" s="30" t="n">
        <f aca="false">IF(OR($A8="",$C8=""),"",$C8/Settings!$B$10)</f>
        <v>0.95</v>
      </c>
      <c r="G8" s="17" t="str">
        <f aca="false">IF(F8="","",INDEX(Settings!$B$37:$B$40,MATCH(F8,Settings!$A$37:$A$40,1)))</f>
        <v>Excellent</v>
      </c>
      <c r="H8" s="17" t="str">
        <f aca="false">IF(F8="","",IF(F8&lt;Settings!$B$12,"Below minimum","OK"))</f>
        <v>OK</v>
      </c>
    </row>
    <row r="9" customFormat="false" ht="15" hidden="false" customHeight="false" outlineLevel="0" collapsed="false">
      <c r="A9" s="25" t="str">
        <f aca="false">IF(Students!A9="","",Students!A9)</f>
        <v>S004</v>
      </c>
      <c r="B9" s="26" t="str">
        <f aca="false">IF(Students!A9="","",Students!B9)</f>
        <v>Ethan Brown</v>
      </c>
      <c r="C9" s="18" t="n">
        <v>60</v>
      </c>
      <c r="D9" s="18" t="n">
        <v>0</v>
      </c>
      <c r="E9" s="29" t="n">
        <f aca="false">IF(OR($A9="",$C9=""),"",Settings!$B$10-$C9)</f>
        <v>0</v>
      </c>
      <c r="F9" s="30" t="n">
        <f aca="false">IF(OR($A9="",$C9=""),"",$C9/Settings!$B$10)</f>
        <v>1</v>
      </c>
      <c r="G9" s="17" t="str">
        <f aca="false">IF(F9="","",INDEX(Settings!$B$37:$B$40,MATCH(F9,Settings!$A$37:$A$40,1)))</f>
        <v>Excellent</v>
      </c>
      <c r="H9" s="17" t="str">
        <f aca="false">IF(F9="","",IF(F9&lt;Settings!$B$12,"Below minimum","OK"))</f>
        <v>OK</v>
      </c>
    </row>
    <row r="10" customFormat="false" ht="15" hidden="false" customHeight="false" outlineLevel="0" collapsed="false">
      <c r="A10" s="25" t="str">
        <f aca="false">IF(Students!A10="","",Students!A10)</f>
        <v>S005</v>
      </c>
      <c r="B10" s="26" t="str">
        <f aca="false">IF(Students!A10="","",Students!B10)</f>
        <v>Zara Khan</v>
      </c>
      <c r="C10" s="18" t="n">
        <v>55</v>
      </c>
      <c r="D10" s="18" t="n">
        <v>2</v>
      </c>
      <c r="E10" s="29" t="n">
        <f aca="false">IF(OR($A10="",$C10=""),"",Settings!$B$10-$C10)</f>
        <v>5</v>
      </c>
      <c r="F10" s="30" t="n">
        <f aca="false">IF(OR($A10="",$C10=""),"",$C10/Settings!$B$10)</f>
        <v>0.916666666666667</v>
      </c>
      <c r="G10" s="17" t="str">
        <f aca="false">IF(F10="","",INDEX(Settings!$B$37:$B$40,MATCH(F10,Settings!$A$37:$A$40,1)))</f>
        <v>Good</v>
      </c>
      <c r="H10" s="17" t="str">
        <f aca="false">IF(F10="","",IF(F10&lt;Settings!$B$12,"Below minimum","OK"))</f>
        <v>OK</v>
      </c>
    </row>
    <row r="11" customFormat="false" ht="15" hidden="false" customHeight="false" outlineLevel="0" collapsed="false">
      <c r="A11" s="25" t="str">
        <f aca="false">IF(Students!A11="","",Students!A11)</f>
        <v>S006</v>
      </c>
      <c r="B11" s="26" t="str">
        <f aca="false">IF(Students!A11="","",Students!B11)</f>
        <v>Lucas Martin</v>
      </c>
      <c r="C11" s="18" t="n">
        <v>52</v>
      </c>
      <c r="D11" s="18" t="n">
        <v>3</v>
      </c>
      <c r="E11" s="29" t="n">
        <f aca="false">IF(OR($A11="",$C11=""),"",Settings!$B$10-$C11)</f>
        <v>8</v>
      </c>
      <c r="F11" s="30" t="n">
        <f aca="false">IF(OR($A11="",$C11=""),"",$C11/Settings!$B$10)</f>
        <v>0.866666666666667</v>
      </c>
      <c r="G11" s="17" t="str">
        <f aca="false">IF(F11="","",INDEX(Settings!$B$37:$B$40,MATCH(F11,Settings!$A$37:$A$40,1)))</f>
        <v>Good</v>
      </c>
      <c r="H11" s="17" t="str">
        <f aca="false">IF(F11="","",IF(F11&lt;Settings!$B$12,"Below minimum","OK"))</f>
        <v>OK</v>
      </c>
    </row>
    <row r="12" customFormat="false" ht="15" hidden="false" customHeight="false" outlineLevel="0" collapsed="false">
      <c r="A12" s="25" t="str">
        <f aca="false">IF(Students!A12="","",Students!A12)</f>
        <v>S007</v>
      </c>
      <c r="B12" s="26" t="str">
        <f aca="false">IF(Students!A12="","",Students!B12)</f>
        <v>Chloe Nguyen</v>
      </c>
      <c r="C12" s="18" t="n">
        <v>56</v>
      </c>
      <c r="D12" s="18" t="n">
        <v>1</v>
      </c>
      <c r="E12" s="29" t="n">
        <f aca="false">IF(OR($A12="",$C12=""),"",Settings!$B$10-$C12)</f>
        <v>4</v>
      </c>
      <c r="F12" s="30" t="n">
        <f aca="false">IF(OR($A12="",$C12=""),"",$C12/Settings!$B$10)</f>
        <v>0.933333333333333</v>
      </c>
      <c r="G12" s="17" t="str">
        <f aca="false">IF(F12="","",INDEX(Settings!$B$37:$B$40,MATCH(F12,Settings!$A$37:$A$40,1)))</f>
        <v>Good</v>
      </c>
      <c r="H12" s="17" t="str">
        <f aca="false">IF(F12="","",IF(F12&lt;Settings!$B$12,"Below minimum","OK"))</f>
        <v>OK</v>
      </c>
    </row>
    <row r="13" customFormat="false" ht="15" hidden="false" customHeight="false" outlineLevel="0" collapsed="false">
      <c r="A13" s="25" t="str">
        <f aca="false">IF(Students!A13="","",Students!A13)</f>
        <v>S008</v>
      </c>
      <c r="B13" s="26" t="str">
        <f aca="false">IF(Students!A13="","",Students!B13)</f>
        <v>Daniel Kim</v>
      </c>
      <c r="C13" s="18" t="n">
        <v>50</v>
      </c>
      <c r="D13" s="18" t="n">
        <v>4</v>
      </c>
      <c r="E13" s="29" t="n">
        <f aca="false">IF(OR($A13="",$C13=""),"",Settings!$B$10-$C13)</f>
        <v>10</v>
      </c>
      <c r="F13" s="30" t="n">
        <f aca="false">IF(OR($A13="",$C13=""),"",$C13/Settings!$B$10)</f>
        <v>0.833333333333333</v>
      </c>
      <c r="G13" s="17" t="str">
        <f aca="false">IF(F13="","",INDEX(Settings!$B$37:$B$40,MATCH(F13,Settings!$A$37:$A$40,1)))</f>
        <v>Fair</v>
      </c>
      <c r="H13" s="17" t="str">
        <f aca="false">IF(F13="","",IF(F13&lt;Settings!$B$12,"Below minimum","OK"))</f>
        <v>OK</v>
      </c>
    </row>
    <row r="14" customFormat="false" ht="15" hidden="false" customHeight="false" outlineLevel="0" collapsed="false">
      <c r="A14" s="25" t="str">
        <f aca="false">IF(Students!A14="","",Students!A14)</f>
        <v>S009</v>
      </c>
      <c r="B14" s="26" t="str">
        <f aca="false">IF(Students!A14="","",Students!B14)</f>
        <v>Grace Adeyemi</v>
      </c>
      <c r="C14" s="18" t="n">
        <v>48</v>
      </c>
      <c r="D14" s="18" t="n">
        <v>2</v>
      </c>
      <c r="E14" s="29" t="n">
        <f aca="false">IF(OR($A14="",$C14=""),"",Settings!$B$10-$C14)</f>
        <v>12</v>
      </c>
      <c r="F14" s="30" t="n">
        <f aca="false">IF(OR($A14="",$C14=""),"",$C14/Settings!$B$10)</f>
        <v>0.8</v>
      </c>
      <c r="G14" s="17" t="str">
        <f aca="false">IF(F14="","",INDEX(Settings!$B$37:$B$40,MATCH(F14,Settings!$A$37:$A$40,1)))</f>
        <v>Fair</v>
      </c>
      <c r="H14" s="17" t="str">
        <f aca="false">IF(F14="","",IF(F14&lt;Settings!$B$12,"Below minimum","OK"))</f>
        <v>OK</v>
      </c>
    </row>
    <row r="15" customFormat="false" ht="15" hidden="false" customHeight="false" outlineLevel="0" collapsed="false">
      <c r="A15" s="25" t="str">
        <f aca="false">IF(Students!A15="","",Students!A15)</f>
        <v>S010</v>
      </c>
      <c r="B15" s="26" t="str">
        <f aca="false">IF(Students!A15="","",Students!B15)</f>
        <v>Oliver Patel</v>
      </c>
      <c r="C15" s="18" t="n">
        <v>53</v>
      </c>
      <c r="D15" s="18" t="n">
        <v>3</v>
      </c>
      <c r="E15" s="29" t="n">
        <f aca="false">IF(OR($A15="",$C15=""),"",Settings!$B$10-$C15)</f>
        <v>7</v>
      </c>
      <c r="F15" s="30" t="n">
        <f aca="false">IF(OR($A15="",$C15=""),"",$C15/Settings!$B$10)</f>
        <v>0.883333333333333</v>
      </c>
      <c r="G15" s="17" t="str">
        <f aca="false">IF(F15="","",INDEX(Settings!$B$37:$B$40,MATCH(F15,Settings!$A$37:$A$40,1)))</f>
        <v>Good</v>
      </c>
      <c r="H15" s="17" t="str">
        <f aca="false">IF(F15="","",IF(F15&lt;Settings!$B$12,"Below minimum","OK"))</f>
        <v>OK</v>
      </c>
    </row>
    <row r="16" customFormat="false" ht="15" hidden="false" customHeight="false" outlineLevel="0" collapsed="false">
      <c r="A16" s="25" t="str">
        <f aca="false">IF(Students!A16="","",Students!A16)</f>
        <v>S011</v>
      </c>
      <c r="B16" s="26" t="str">
        <f aca="false">IF(Students!A16="","",Students!B16)</f>
        <v>Isabella Rossi</v>
      </c>
      <c r="C16" s="18" t="n">
        <v>42</v>
      </c>
      <c r="D16" s="18" t="n">
        <v>6</v>
      </c>
      <c r="E16" s="29" t="n">
        <f aca="false">IF(OR($A16="",$C16=""),"",Settings!$B$10-$C16)</f>
        <v>18</v>
      </c>
      <c r="F16" s="30" t="n">
        <f aca="false">IF(OR($A16="",$C16=""),"",$C16/Settings!$B$10)</f>
        <v>0.7</v>
      </c>
      <c r="G16" s="17" t="str">
        <f aca="false">IF(F16="","",INDEX(Settings!$B$37:$B$40,MATCH(F16,Settings!$A$37:$A$40,1)))</f>
        <v>Poor</v>
      </c>
      <c r="H16" s="17" t="str">
        <f aca="false">IF(F16="","",IF(F16&lt;Settings!$B$12,"Below minimum","OK"))</f>
        <v>Below minimum</v>
      </c>
    </row>
    <row r="17" customFormat="false" ht="15" hidden="false" customHeight="false" outlineLevel="0" collapsed="false">
      <c r="A17" s="25" t="str">
        <f aca="false">IF(Students!A17="","",Students!A17)</f>
        <v>S012</v>
      </c>
      <c r="B17" s="26" t="str">
        <f aca="false">IF(Students!A17="","",Students!B17)</f>
        <v>Samuel Lee</v>
      </c>
      <c r="C17" s="18" t="n">
        <v>57</v>
      </c>
      <c r="D17" s="18" t="n">
        <v>0</v>
      </c>
      <c r="E17" s="29" t="n">
        <f aca="false">IF(OR($A17="",$C17=""),"",Settings!$B$10-$C17)</f>
        <v>3</v>
      </c>
      <c r="F17" s="30" t="n">
        <f aca="false">IF(OR($A17="",$C17=""),"",$C17/Settings!$B$10)</f>
        <v>0.95</v>
      </c>
      <c r="G17" s="17" t="str">
        <f aca="false">IF(F17="","",INDEX(Settings!$B$37:$B$40,MATCH(F17,Settings!$A$37:$A$40,1)))</f>
        <v>Excellent</v>
      </c>
      <c r="H17" s="17" t="str">
        <f aca="false">IF(F17="","",IF(F17&lt;Settings!$B$12,"Below minimum","OK"))</f>
        <v>OK</v>
      </c>
    </row>
    <row r="18" customFormat="false" ht="15" hidden="false" customHeight="false" outlineLevel="0" collapsed="false">
      <c r="A18" s="25" t="str">
        <f aca="false">IF(Students!A18="","",Students!A18)</f>
        <v/>
      </c>
      <c r="B18" s="26" t="str">
        <f aca="false">IF(Students!A18="","",Students!B18)</f>
        <v/>
      </c>
      <c r="C18" s="18"/>
      <c r="D18" s="18"/>
      <c r="E18" s="29" t="str">
        <f aca="false">IF(OR($A18="",$C18=""),"",Settings!$B$10-$C18)</f>
        <v/>
      </c>
      <c r="F18" s="30" t="str">
        <f aca="false">IF(OR($A18="",$C18=""),"",$C18/Settings!$B$10)</f>
        <v/>
      </c>
      <c r="G18" s="17" t="str">
        <f aca="false">IF(F18="","",INDEX(Settings!$B$37:$B$40,MATCH(F18,Settings!$A$37:$A$40,1)))</f>
        <v/>
      </c>
      <c r="H18" s="17" t="str">
        <f aca="false">IF(F18="","",IF(F18&lt;Settings!$B$12,"Below minimum","OK"))</f>
        <v/>
      </c>
    </row>
    <row r="19" customFormat="false" ht="15" hidden="false" customHeight="false" outlineLevel="0" collapsed="false">
      <c r="A19" s="25" t="str">
        <f aca="false">IF(Students!A19="","",Students!A19)</f>
        <v/>
      </c>
      <c r="B19" s="26" t="str">
        <f aca="false">IF(Students!A19="","",Students!B19)</f>
        <v/>
      </c>
      <c r="C19" s="18"/>
      <c r="D19" s="18"/>
      <c r="E19" s="29" t="str">
        <f aca="false">IF(OR($A19="",$C19=""),"",Settings!$B$10-$C19)</f>
        <v/>
      </c>
      <c r="F19" s="30" t="str">
        <f aca="false">IF(OR($A19="",$C19=""),"",$C19/Settings!$B$10)</f>
        <v/>
      </c>
      <c r="G19" s="17" t="str">
        <f aca="false">IF(F19="","",INDEX(Settings!$B$37:$B$40,MATCH(F19,Settings!$A$37:$A$40,1)))</f>
        <v/>
      </c>
      <c r="H19" s="17" t="str">
        <f aca="false">IF(F19="","",IF(F19&lt;Settings!$B$12,"Below minimum","OK"))</f>
        <v/>
      </c>
    </row>
    <row r="20" customFormat="false" ht="15" hidden="false" customHeight="false" outlineLevel="0" collapsed="false">
      <c r="A20" s="25" t="str">
        <f aca="false">IF(Students!A20="","",Students!A20)</f>
        <v/>
      </c>
      <c r="B20" s="26" t="str">
        <f aca="false">IF(Students!A20="","",Students!B20)</f>
        <v/>
      </c>
      <c r="C20" s="18"/>
      <c r="D20" s="18"/>
      <c r="E20" s="29" t="str">
        <f aca="false">IF(OR($A20="",$C20=""),"",Settings!$B$10-$C20)</f>
        <v/>
      </c>
      <c r="F20" s="30" t="str">
        <f aca="false">IF(OR($A20="",$C20=""),"",$C20/Settings!$B$10)</f>
        <v/>
      </c>
      <c r="G20" s="17" t="str">
        <f aca="false">IF(F20="","",INDEX(Settings!$B$37:$B$40,MATCH(F20,Settings!$A$37:$A$40,1)))</f>
        <v/>
      </c>
      <c r="H20" s="17" t="str">
        <f aca="false">IF(F20="","",IF(F20&lt;Settings!$B$12,"Below minimum","OK"))</f>
        <v/>
      </c>
    </row>
    <row r="21" customFormat="false" ht="15" hidden="false" customHeight="false" outlineLevel="0" collapsed="false">
      <c r="A21" s="25" t="str">
        <f aca="false">IF(Students!A21="","",Students!A21)</f>
        <v/>
      </c>
      <c r="B21" s="26" t="str">
        <f aca="false">IF(Students!A21="","",Students!B21)</f>
        <v/>
      </c>
      <c r="C21" s="18"/>
      <c r="D21" s="18"/>
      <c r="E21" s="29" t="str">
        <f aca="false">IF(OR($A21="",$C21=""),"",Settings!$B$10-$C21)</f>
        <v/>
      </c>
      <c r="F21" s="30" t="str">
        <f aca="false">IF(OR($A21="",$C21=""),"",$C21/Settings!$B$10)</f>
        <v/>
      </c>
      <c r="G21" s="17" t="str">
        <f aca="false">IF(F21="","",INDEX(Settings!$B$37:$B$40,MATCH(F21,Settings!$A$37:$A$40,1)))</f>
        <v/>
      </c>
      <c r="H21" s="17" t="str">
        <f aca="false">IF(F21="","",IF(F21&lt;Settings!$B$12,"Below minimum","OK"))</f>
        <v/>
      </c>
    </row>
    <row r="22" customFormat="false" ht="15" hidden="false" customHeight="false" outlineLevel="0" collapsed="false">
      <c r="A22" s="25" t="str">
        <f aca="false">IF(Students!A22="","",Students!A22)</f>
        <v/>
      </c>
      <c r="B22" s="26" t="str">
        <f aca="false">IF(Students!A22="","",Students!B22)</f>
        <v/>
      </c>
      <c r="C22" s="18"/>
      <c r="D22" s="18"/>
      <c r="E22" s="29" t="str">
        <f aca="false">IF(OR($A22="",$C22=""),"",Settings!$B$10-$C22)</f>
        <v/>
      </c>
      <c r="F22" s="30" t="str">
        <f aca="false">IF(OR($A22="",$C22=""),"",$C22/Settings!$B$10)</f>
        <v/>
      </c>
      <c r="G22" s="17" t="str">
        <f aca="false">IF(F22="","",INDEX(Settings!$B$37:$B$40,MATCH(F22,Settings!$A$37:$A$40,1)))</f>
        <v/>
      </c>
      <c r="H22" s="17" t="str">
        <f aca="false">IF(F22="","",IF(F22&lt;Settings!$B$12,"Below minimum","OK"))</f>
        <v/>
      </c>
    </row>
    <row r="23" customFormat="false" ht="15" hidden="false" customHeight="false" outlineLevel="0" collapsed="false">
      <c r="A23" s="25" t="str">
        <f aca="false">IF(Students!A23="","",Students!A23)</f>
        <v/>
      </c>
      <c r="B23" s="26" t="str">
        <f aca="false">IF(Students!A23="","",Students!B23)</f>
        <v/>
      </c>
      <c r="C23" s="18"/>
      <c r="D23" s="18"/>
      <c r="E23" s="29" t="str">
        <f aca="false">IF(OR($A23="",$C23=""),"",Settings!$B$10-$C23)</f>
        <v/>
      </c>
      <c r="F23" s="30" t="str">
        <f aca="false">IF(OR($A23="",$C23=""),"",$C23/Settings!$B$10)</f>
        <v/>
      </c>
      <c r="G23" s="17" t="str">
        <f aca="false">IF(F23="","",INDEX(Settings!$B$37:$B$40,MATCH(F23,Settings!$A$37:$A$40,1)))</f>
        <v/>
      </c>
      <c r="H23" s="17" t="str">
        <f aca="false">IF(F23="","",IF(F23&lt;Settings!$B$12,"Below minimum","OK"))</f>
        <v/>
      </c>
    </row>
    <row r="24" customFormat="false" ht="15" hidden="false" customHeight="false" outlineLevel="0" collapsed="false">
      <c r="A24" s="25" t="str">
        <f aca="false">IF(Students!A24="","",Students!A24)</f>
        <v/>
      </c>
      <c r="B24" s="26" t="str">
        <f aca="false">IF(Students!A24="","",Students!B24)</f>
        <v/>
      </c>
      <c r="C24" s="18"/>
      <c r="D24" s="18"/>
      <c r="E24" s="29" t="str">
        <f aca="false">IF(OR($A24="",$C24=""),"",Settings!$B$10-$C24)</f>
        <v/>
      </c>
      <c r="F24" s="30" t="str">
        <f aca="false">IF(OR($A24="",$C24=""),"",$C24/Settings!$B$10)</f>
        <v/>
      </c>
      <c r="G24" s="17" t="str">
        <f aca="false">IF(F24="","",INDEX(Settings!$B$37:$B$40,MATCH(F24,Settings!$A$37:$A$40,1)))</f>
        <v/>
      </c>
      <c r="H24" s="17" t="str">
        <f aca="false">IF(F24="","",IF(F24&lt;Settings!$B$12,"Below minimum","OK"))</f>
        <v/>
      </c>
    </row>
    <row r="25" customFormat="false" ht="15" hidden="false" customHeight="false" outlineLevel="0" collapsed="false">
      <c r="A25" s="25" t="str">
        <f aca="false">IF(Students!A25="","",Students!A25)</f>
        <v/>
      </c>
      <c r="B25" s="26" t="str">
        <f aca="false">IF(Students!A25="","",Students!B25)</f>
        <v/>
      </c>
      <c r="C25" s="18"/>
      <c r="D25" s="18"/>
      <c r="E25" s="29" t="str">
        <f aca="false">IF(OR($A25="",$C25=""),"",Settings!$B$10-$C25)</f>
        <v/>
      </c>
      <c r="F25" s="30" t="str">
        <f aca="false">IF(OR($A25="",$C25=""),"",$C25/Settings!$B$10)</f>
        <v/>
      </c>
      <c r="G25" s="17" t="str">
        <f aca="false">IF(F25="","",INDEX(Settings!$B$37:$B$40,MATCH(F25,Settings!$A$37:$A$40,1)))</f>
        <v/>
      </c>
      <c r="H25" s="17" t="str">
        <f aca="false">IF(F25="","",IF(F25&lt;Settings!$B$12,"Below minimum","OK"))</f>
        <v/>
      </c>
    </row>
    <row r="26" customFormat="false" ht="15" hidden="false" customHeight="false" outlineLevel="0" collapsed="false">
      <c r="A26" s="25" t="str">
        <f aca="false">IF(Students!A26="","",Students!A26)</f>
        <v/>
      </c>
      <c r="B26" s="26" t="str">
        <f aca="false">IF(Students!A26="","",Students!B26)</f>
        <v/>
      </c>
      <c r="C26" s="18"/>
      <c r="D26" s="18"/>
      <c r="E26" s="29" t="str">
        <f aca="false">IF(OR($A26="",$C26=""),"",Settings!$B$10-$C26)</f>
        <v/>
      </c>
      <c r="F26" s="30" t="str">
        <f aca="false">IF(OR($A26="",$C26=""),"",$C26/Settings!$B$10)</f>
        <v/>
      </c>
      <c r="G26" s="17" t="str">
        <f aca="false">IF(F26="","",INDEX(Settings!$B$37:$B$40,MATCH(F26,Settings!$A$37:$A$40,1)))</f>
        <v/>
      </c>
      <c r="H26" s="17" t="str">
        <f aca="false">IF(F26="","",IF(F26&lt;Settings!$B$12,"Below minimum","OK"))</f>
        <v/>
      </c>
    </row>
    <row r="27" customFormat="false" ht="15" hidden="false" customHeight="false" outlineLevel="0" collapsed="false">
      <c r="A27" s="25" t="str">
        <f aca="false">IF(Students!A27="","",Students!A27)</f>
        <v/>
      </c>
      <c r="B27" s="26" t="str">
        <f aca="false">IF(Students!A27="","",Students!B27)</f>
        <v/>
      </c>
      <c r="C27" s="18"/>
      <c r="D27" s="18"/>
      <c r="E27" s="29" t="str">
        <f aca="false">IF(OR($A27="",$C27=""),"",Settings!$B$10-$C27)</f>
        <v/>
      </c>
      <c r="F27" s="30" t="str">
        <f aca="false">IF(OR($A27="",$C27=""),"",$C27/Settings!$B$10)</f>
        <v/>
      </c>
      <c r="G27" s="17" t="str">
        <f aca="false">IF(F27="","",INDEX(Settings!$B$37:$B$40,MATCH(F27,Settings!$A$37:$A$40,1)))</f>
        <v/>
      </c>
      <c r="H27" s="17" t="str">
        <f aca="false">IF(F27="","",IF(F27&lt;Settings!$B$12,"Below minimum","OK"))</f>
        <v/>
      </c>
    </row>
    <row r="28" customFormat="false" ht="15" hidden="false" customHeight="false" outlineLevel="0" collapsed="false">
      <c r="A28" s="25" t="str">
        <f aca="false">IF(Students!A28="","",Students!A28)</f>
        <v/>
      </c>
      <c r="B28" s="26" t="str">
        <f aca="false">IF(Students!A28="","",Students!B28)</f>
        <v/>
      </c>
      <c r="C28" s="18"/>
      <c r="D28" s="18"/>
      <c r="E28" s="29" t="str">
        <f aca="false">IF(OR($A28="",$C28=""),"",Settings!$B$10-$C28)</f>
        <v/>
      </c>
      <c r="F28" s="30" t="str">
        <f aca="false">IF(OR($A28="",$C28=""),"",$C28/Settings!$B$10)</f>
        <v/>
      </c>
      <c r="G28" s="17" t="str">
        <f aca="false">IF(F28="","",INDEX(Settings!$B$37:$B$40,MATCH(F28,Settings!$A$37:$A$40,1)))</f>
        <v/>
      </c>
      <c r="H28" s="17" t="str">
        <f aca="false">IF(F28="","",IF(F28&lt;Settings!$B$12,"Below minimum","OK"))</f>
        <v/>
      </c>
    </row>
    <row r="29" customFormat="false" ht="15" hidden="false" customHeight="false" outlineLevel="0" collapsed="false">
      <c r="A29" s="25" t="str">
        <f aca="false">IF(Students!A29="","",Students!A29)</f>
        <v/>
      </c>
      <c r="B29" s="26" t="str">
        <f aca="false">IF(Students!A29="","",Students!B29)</f>
        <v/>
      </c>
      <c r="C29" s="18"/>
      <c r="D29" s="18"/>
      <c r="E29" s="29" t="str">
        <f aca="false">IF(OR($A29="",$C29=""),"",Settings!$B$10-$C29)</f>
        <v/>
      </c>
      <c r="F29" s="30" t="str">
        <f aca="false">IF(OR($A29="",$C29=""),"",$C29/Settings!$B$10)</f>
        <v/>
      </c>
      <c r="G29" s="17" t="str">
        <f aca="false">IF(F29="","",INDEX(Settings!$B$37:$B$40,MATCH(F29,Settings!$A$37:$A$40,1)))</f>
        <v/>
      </c>
      <c r="H29" s="17" t="str">
        <f aca="false">IF(F29="","",IF(F29&lt;Settings!$B$12,"Below minimum","OK"))</f>
        <v/>
      </c>
    </row>
    <row r="30" customFormat="false" ht="15" hidden="false" customHeight="false" outlineLevel="0" collapsed="false">
      <c r="A30" s="25" t="str">
        <f aca="false">IF(Students!A30="","",Students!A30)</f>
        <v/>
      </c>
      <c r="B30" s="26" t="str">
        <f aca="false">IF(Students!A30="","",Students!B30)</f>
        <v/>
      </c>
      <c r="C30" s="18"/>
      <c r="D30" s="18"/>
      <c r="E30" s="29" t="str">
        <f aca="false">IF(OR($A30="",$C30=""),"",Settings!$B$10-$C30)</f>
        <v/>
      </c>
      <c r="F30" s="30" t="str">
        <f aca="false">IF(OR($A30="",$C30=""),"",$C30/Settings!$B$10)</f>
        <v/>
      </c>
      <c r="G30" s="17" t="str">
        <f aca="false">IF(F30="","",INDEX(Settings!$B$37:$B$40,MATCH(F30,Settings!$A$37:$A$40,1)))</f>
        <v/>
      </c>
      <c r="H30" s="17" t="str">
        <f aca="false">IF(F30="","",IF(F30&lt;Settings!$B$12,"Below minimum","OK"))</f>
        <v/>
      </c>
    </row>
    <row r="31" customFormat="false" ht="15" hidden="false" customHeight="false" outlineLevel="0" collapsed="false">
      <c r="A31" s="25" t="str">
        <f aca="false">IF(Students!A31="","",Students!A31)</f>
        <v/>
      </c>
      <c r="B31" s="26" t="str">
        <f aca="false">IF(Students!A31="","",Students!B31)</f>
        <v/>
      </c>
      <c r="C31" s="18"/>
      <c r="D31" s="18"/>
      <c r="E31" s="29" t="str">
        <f aca="false">IF(OR($A31="",$C31=""),"",Settings!$B$10-$C31)</f>
        <v/>
      </c>
      <c r="F31" s="30" t="str">
        <f aca="false">IF(OR($A31="",$C31=""),"",$C31/Settings!$B$10)</f>
        <v/>
      </c>
      <c r="G31" s="17" t="str">
        <f aca="false">IF(F31="","",INDEX(Settings!$B$37:$B$40,MATCH(F31,Settings!$A$37:$A$40,1)))</f>
        <v/>
      </c>
      <c r="H31" s="17" t="str">
        <f aca="false">IF(F31="","",IF(F31&lt;Settings!$B$12,"Below minimum","OK"))</f>
        <v/>
      </c>
    </row>
    <row r="32" customFormat="false" ht="15" hidden="false" customHeight="false" outlineLevel="0" collapsed="false">
      <c r="A32" s="25" t="str">
        <f aca="false">IF(Students!A32="","",Students!A32)</f>
        <v/>
      </c>
      <c r="B32" s="26" t="str">
        <f aca="false">IF(Students!A32="","",Students!B32)</f>
        <v/>
      </c>
      <c r="C32" s="18"/>
      <c r="D32" s="18"/>
      <c r="E32" s="29" t="str">
        <f aca="false">IF(OR($A32="",$C32=""),"",Settings!$B$10-$C32)</f>
        <v/>
      </c>
      <c r="F32" s="30" t="str">
        <f aca="false">IF(OR($A32="",$C32=""),"",$C32/Settings!$B$10)</f>
        <v/>
      </c>
      <c r="G32" s="17" t="str">
        <f aca="false">IF(F32="","",INDEX(Settings!$B$37:$B$40,MATCH(F32,Settings!$A$37:$A$40,1)))</f>
        <v/>
      </c>
      <c r="H32" s="17" t="str">
        <f aca="false">IF(F32="","",IF(F32&lt;Settings!$B$12,"Below minimum","OK"))</f>
        <v/>
      </c>
    </row>
    <row r="33" customFormat="false" ht="15" hidden="false" customHeight="false" outlineLevel="0" collapsed="false">
      <c r="A33" s="25" t="str">
        <f aca="false">IF(Students!A33="","",Students!A33)</f>
        <v/>
      </c>
      <c r="B33" s="26" t="str">
        <f aca="false">IF(Students!A33="","",Students!B33)</f>
        <v/>
      </c>
      <c r="C33" s="18"/>
      <c r="D33" s="18"/>
      <c r="E33" s="29" t="str">
        <f aca="false">IF(OR($A33="",$C33=""),"",Settings!$B$10-$C33)</f>
        <v/>
      </c>
      <c r="F33" s="30" t="str">
        <f aca="false">IF(OR($A33="",$C33=""),"",$C33/Settings!$B$10)</f>
        <v/>
      </c>
      <c r="G33" s="17" t="str">
        <f aca="false">IF(F33="","",INDEX(Settings!$B$37:$B$40,MATCH(F33,Settings!$A$37:$A$40,1)))</f>
        <v/>
      </c>
      <c r="H33" s="17" t="str">
        <f aca="false">IF(F33="","",IF(F33&lt;Settings!$B$12,"Below minimum","OK"))</f>
        <v/>
      </c>
    </row>
    <row r="34" customFormat="false" ht="15" hidden="false" customHeight="false" outlineLevel="0" collapsed="false">
      <c r="A34" s="25" t="str">
        <f aca="false">IF(Students!A34="","",Students!A34)</f>
        <v/>
      </c>
      <c r="B34" s="26" t="str">
        <f aca="false">IF(Students!A34="","",Students!B34)</f>
        <v/>
      </c>
      <c r="C34" s="18"/>
      <c r="D34" s="18"/>
      <c r="E34" s="29" t="str">
        <f aca="false">IF(OR($A34="",$C34=""),"",Settings!$B$10-$C34)</f>
        <v/>
      </c>
      <c r="F34" s="30" t="str">
        <f aca="false">IF(OR($A34="",$C34=""),"",$C34/Settings!$B$10)</f>
        <v/>
      </c>
      <c r="G34" s="17" t="str">
        <f aca="false">IF(F34="","",INDEX(Settings!$B$37:$B$40,MATCH(F34,Settings!$A$37:$A$40,1)))</f>
        <v/>
      </c>
      <c r="H34" s="17" t="str">
        <f aca="false">IF(F34="","",IF(F34&lt;Settings!$B$12,"Below minimum","OK"))</f>
        <v/>
      </c>
    </row>
    <row r="35" customFormat="false" ht="15" hidden="false" customHeight="false" outlineLevel="0" collapsed="false">
      <c r="A35" s="25" t="str">
        <f aca="false">IF(Students!A35="","",Students!A35)</f>
        <v/>
      </c>
      <c r="B35" s="26" t="str">
        <f aca="false">IF(Students!A35="","",Students!B35)</f>
        <v/>
      </c>
      <c r="C35" s="18"/>
      <c r="D35" s="18"/>
      <c r="E35" s="29" t="str">
        <f aca="false">IF(OR($A35="",$C35=""),"",Settings!$B$10-$C35)</f>
        <v/>
      </c>
      <c r="F35" s="30" t="str">
        <f aca="false">IF(OR($A35="",$C35=""),"",$C35/Settings!$B$10)</f>
        <v/>
      </c>
      <c r="G35" s="17" t="str">
        <f aca="false">IF(F35="","",INDEX(Settings!$B$37:$B$40,MATCH(F35,Settings!$A$37:$A$40,1)))</f>
        <v/>
      </c>
      <c r="H35" s="17" t="str">
        <f aca="false">IF(F35="","",IF(F35&lt;Settings!$B$12,"Below minimum","OK"))</f>
        <v/>
      </c>
    </row>
    <row r="36" customFormat="false" ht="15" hidden="false" customHeight="false" outlineLevel="0" collapsed="false">
      <c r="A36" s="25" t="str">
        <f aca="false">IF(Students!A36="","",Students!A36)</f>
        <v/>
      </c>
      <c r="B36" s="26" t="str">
        <f aca="false">IF(Students!A36="","",Students!B36)</f>
        <v/>
      </c>
      <c r="C36" s="18"/>
      <c r="D36" s="18"/>
      <c r="E36" s="29" t="str">
        <f aca="false">IF(OR($A36="",$C36=""),"",Settings!$B$10-$C36)</f>
        <v/>
      </c>
      <c r="F36" s="30" t="str">
        <f aca="false">IF(OR($A36="",$C36=""),"",$C36/Settings!$B$10)</f>
        <v/>
      </c>
      <c r="G36" s="17" t="str">
        <f aca="false">IF(F36="","",INDEX(Settings!$B$37:$B$40,MATCH(F36,Settings!$A$37:$A$40,1)))</f>
        <v/>
      </c>
      <c r="H36" s="17" t="str">
        <f aca="false">IF(F36="","",IF(F36&lt;Settings!$B$12,"Below minimum","OK"))</f>
        <v/>
      </c>
    </row>
    <row r="37" customFormat="false" ht="15" hidden="false" customHeight="false" outlineLevel="0" collapsed="false">
      <c r="A37" s="25" t="str">
        <f aca="false">IF(Students!A37="","",Students!A37)</f>
        <v/>
      </c>
      <c r="B37" s="26" t="str">
        <f aca="false">IF(Students!A37="","",Students!B37)</f>
        <v/>
      </c>
      <c r="C37" s="18"/>
      <c r="D37" s="18"/>
      <c r="E37" s="29" t="str">
        <f aca="false">IF(OR($A37="",$C37=""),"",Settings!$B$10-$C37)</f>
        <v/>
      </c>
      <c r="F37" s="30" t="str">
        <f aca="false">IF(OR($A37="",$C37=""),"",$C37/Settings!$B$10)</f>
        <v/>
      </c>
      <c r="G37" s="17" t="str">
        <f aca="false">IF(F37="","",INDEX(Settings!$B$37:$B$40,MATCH(F37,Settings!$A$37:$A$40,1)))</f>
        <v/>
      </c>
      <c r="H37" s="17" t="str">
        <f aca="false">IF(F37="","",IF(F37&lt;Settings!$B$12,"Below minimum","OK"))</f>
        <v/>
      </c>
    </row>
    <row r="38" customFormat="false" ht="15" hidden="false" customHeight="false" outlineLevel="0" collapsed="false">
      <c r="A38" s="25" t="str">
        <f aca="false">IF(Students!A38="","",Students!A38)</f>
        <v/>
      </c>
      <c r="B38" s="26" t="str">
        <f aca="false">IF(Students!A38="","",Students!B38)</f>
        <v/>
      </c>
      <c r="C38" s="18"/>
      <c r="D38" s="18"/>
      <c r="E38" s="29" t="str">
        <f aca="false">IF(OR($A38="",$C38=""),"",Settings!$B$10-$C38)</f>
        <v/>
      </c>
      <c r="F38" s="30" t="str">
        <f aca="false">IF(OR($A38="",$C38=""),"",$C38/Settings!$B$10)</f>
        <v/>
      </c>
      <c r="G38" s="17" t="str">
        <f aca="false">IF(F38="","",INDEX(Settings!$B$37:$B$40,MATCH(F38,Settings!$A$37:$A$40,1)))</f>
        <v/>
      </c>
      <c r="H38" s="17" t="str">
        <f aca="false">IF(F38="","",IF(F38&lt;Settings!$B$12,"Below minimum","OK"))</f>
        <v/>
      </c>
    </row>
    <row r="39" customFormat="false" ht="15" hidden="false" customHeight="false" outlineLevel="0" collapsed="false">
      <c r="A39" s="25" t="str">
        <f aca="false">IF(Students!A39="","",Students!A39)</f>
        <v/>
      </c>
      <c r="B39" s="26" t="str">
        <f aca="false">IF(Students!A39="","",Students!B39)</f>
        <v/>
      </c>
      <c r="C39" s="18"/>
      <c r="D39" s="18"/>
      <c r="E39" s="29" t="str">
        <f aca="false">IF(OR($A39="",$C39=""),"",Settings!$B$10-$C39)</f>
        <v/>
      </c>
      <c r="F39" s="30" t="str">
        <f aca="false">IF(OR($A39="",$C39=""),"",$C39/Settings!$B$10)</f>
        <v/>
      </c>
      <c r="G39" s="17" t="str">
        <f aca="false">IF(F39="","",INDEX(Settings!$B$37:$B$40,MATCH(F39,Settings!$A$37:$A$40,1)))</f>
        <v/>
      </c>
      <c r="H39" s="17" t="str">
        <f aca="false">IF(F39="","",IF(F39&lt;Settings!$B$12,"Below minimum","OK"))</f>
        <v/>
      </c>
    </row>
    <row r="40" customFormat="false" ht="15" hidden="false" customHeight="false" outlineLevel="0" collapsed="false">
      <c r="A40" s="25" t="str">
        <f aca="false">IF(Students!A40="","",Students!A40)</f>
        <v/>
      </c>
      <c r="B40" s="26" t="str">
        <f aca="false">IF(Students!A40="","",Students!B40)</f>
        <v/>
      </c>
      <c r="C40" s="18"/>
      <c r="D40" s="18"/>
      <c r="E40" s="29" t="str">
        <f aca="false">IF(OR($A40="",$C40=""),"",Settings!$B$10-$C40)</f>
        <v/>
      </c>
      <c r="F40" s="30" t="str">
        <f aca="false">IF(OR($A40="",$C40=""),"",$C40/Settings!$B$10)</f>
        <v/>
      </c>
      <c r="G40" s="17" t="str">
        <f aca="false">IF(F40="","",INDEX(Settings!$B$37:$B$40,MATCH(F40,Settings!$A$37:$A$40,1)))</f>
        <v/>
      </c>
      <c r="H40" s="17" t="str">
        <f aca="false">IF(F40="","",IF(F40&lt;Settings!$B$12,"Below minimum","OK"))</f>
        <v/>
      </c>
    </row>
    <row r="41" customFormat="false" ht="15" hidden="false" customHeight="false" outlineLevel="0" collapsed="false">
      <c r="A41" s="25" t="str">
        <f aca="false">IF(Students!A41="","",Students!A41)</f>
        <v/>
      </c>
      <c r="B41" s="26" t="str">
        <f aca="false">IF(Students!A41="","",Students!B41)</f>
        <v/>
      </c>
      <c r="C41" s="18"/>
      <c r="D41" s="18"/>
      <c r="E41" s="29" t="str">
        <f aca="false">IF(OR($A41="",$C41=""),"",Settings!$B$10-$C41)</f>
        <v/>
      </c>
      <c r="F41" s="30" t="str">
        <f aca="false">IF(OR($A41="",$C41=""),"",$C41/Settings!$B$10)</f>
        <v/>
      </c>
      <c r="G41" s="17" t="str">
        <f aca="false">IF(F41="","",INDEX(Settings!$B$37:$B$40,MATCH(F41,Settings!$A$37:$A$40,1)))</f>
        <v/>
      </c>
      <c r="H41" s="17" t="str">
        <f aca="false">IF(F41="","",IF(F41&lt;Settings!$B$12,"Below minimum","OK"))</f>
        <v/>
      </c>
    </row>
    <row r="42" customFormat="false" ht="15" hidden="false" customHeight="false" outlineLevel="0" collapsed="false">
      <c r="A42" s="25" t="str">
        <f aca="false">IF(Students!A42="","",Students!A42)</f>
        <v/>
      </c>
      <c r="B42" s="26" t="str">
        <f aca="false">IF(Students!A42="","",Students!B42)</f>
        <v/>
      </c>
      <c r="C42" s="18"/>
      <c r="D42" s="18"/>
      <c r="E42" s="29" t="str">
        <f aca="false">IF(OR($A42="",$C42=""),"",Settings!$B$10-$C42)</f>
        <v/>
      </c>
      <c r="F42" s="30" t="str">
        <f aca="false">IF(OR($A42="",$C42=""),"",$C42/Settings!$B$10)</f>
        <v/>
      </c>
      <c r="G42" s="17" t="str">
        <f aca="false">IF(F42="","",INDEX(Settings!$B$37:$B$40,MATCH(F42,Settings!$A$37:$A$40,1)))</f>
        <v/>
      </c>
      <c r="H42" s="17" t="str">
        <f aca="false">IF(F42="","",IF(F42&lt;Settings!$B$12,"Below minimum","OK"))</f>
        <v/>
      </c>
    </row>
    <row r="43" customFormat="false" ht="15" hidden="false" customHeight="false" outlineLevel="0" collapsed="false">
      <c r="A43" s="25" t="str">
        <f aca="false">IF(Students!A43="","",Students!A43)</f>
        <v/>
      </c>
      <c r="B43" s="26" t="str">
        <f aca="false">IF(Students!A43="","",Students!B43)</f>
        <v/>
      </c>
      <c r="C43" s="18"/>
      <c r="D43" s="18"/>
      <c r="E43" s="29" t="str">
        <f aca="false">IF(OR($A43="",$C43=""),"",Settings!$B$10-$C43)</f>
        <v/>
      </c>
      <c r="F43" s="30" t="str">
        <f aca="false">IF(OR($A43="",$C43=""),"",$C43/Settings!$B$10)</f>
        <v/>
      </c>
      <c r="G43" s="17" t="str">
        <f aca="false">IF(F43="","",INDEX(Settings!$B$37:$B$40,MATCH(F43,Settings!$A$37:$A$40,1)))</f>
        <v/>
      </c>
      <c r="H43" s="17" t="str">
        <f aca="false">IF(F43="","",IF(F43&lt;Settings!$B$12,"Below minimum","OK"))</f>
        <v/>
      </c>
    </row>
    <row r="44" customFormat="false" ht="15" hidden="false" customHeight="false" outlineLevel="0" collapsed="false">
      <c r="A44" s="25" t="str">
        <f aca="false">IF(Students!A44="","",Students!A44)</f>
        <v/>
      </c>
      <c r="B44" s="26" t="str">
        <f aca="false">IF(Students!A44="","",Students!B44)</f>
        <v/>
      </c>
      <c r="C44" s="18"/>
      <c r="D44" s="18"/>
      <c r="E44" s="29" t="str">
        <f aca="false">IF(OR($A44="",$C44=""),"",Settings!$B$10-$C44)</f>
        <v/>
      </c>
      <c r="F44" s="30" t="str">
        <f aca="false">IF(OR($A44="",$C44=""),"",$C44/Settings!$B$10)</f>
        <v/>
      </c>
      <c r="G44" s="17" t="str">
        <f aca="false">IF(F44="","",INDEX(Settings!$B$37:$B$40,MATCH(F44,Settings!$A$37:$A$40,1)))</f>
        <v/>
      </c>
      <c r="H44" s="17" t="str">
        <f aca="false">IF(F44="","",IF(F44&lt;Settings!$B$12,"Below minimum","OK"))</f>
        <v/>
      </c>
    </row>
    <row r="45" customFormat="false" ht="15" hidden="false" customHeight="false" outlineLevel="0" collapsed="false">
      <c r="A45" s="25" t="str">
        <f aca="false">IF(Students!A45="","",Students!A45)</f>
        <v/>
      </c>
      <c r="B45" s="26" t="str">
        <f aca="false">IF(Students!A45="","",Students!B45)</f>
        <v/>
      </c>
      <c r="C45" s="18"/>
      <c r="D45" s="18"/>
      <c r="E45" s="29" t="str">
        <f aca="false">IF(OR($A45="",$C45=""),"",Settings!$B$10-$C45)</f>
        <v/>
      </c>
      <c r="F45" s="30" t="str">
        <f aca="false">IF(OR($A45="",$C45=""),"",$C45/Settings!$B$10)</f>
        <v/>
      </c>
      <c r="G45" s="17" t="str">
        <f aca="false">IF(F45="","",INDEX(Settings!$B$37:$B$40,MATCH(F45,Settings!$A$37:$A$40,1)))</f>
        <v/>
      </c>
      <c r="H45" s="17" t="str">
        <f aca="false">IF(F45="","",IF(F45&lt;Settings!$B$12,"Below minimum","OK"))</f>
        <v/>
      </c>
    </row>
  </sheetData>
  <mergeCells count="3">
    <mergeCell ref="A1:H1"/>
    <mergeCell ref="A2:H2"/>
    <mergeCell ref="A3:B3"/>
  </mergeCells>
  <conditionalFormatting sqref="F6:H45">
    <cfRule type="expression" priority="2" aboveAverage="0" equalAverage="0" bottom="0" percent="0" rank="0" text="" dxfId="0">
      <formula>AND(ISNUMBER($F6),$F6&lt;Settings!$B$12)</formula>
    </cfRule>
  </conditionalFormatting>
  <dataValidations count="1">
    <dataValidation allowBlank="true" error="Days present cannot exceed the school days set in Settings." errorStyle="stop" errorTitle="Invalid days" operator="between" showDropDown="false" showErrorMessage="true" showInputMessage="false" sqref="C6:C45" type="whole">
      <formula1>0</formula1>
      <formula2>Settings!$B$10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Q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8" min="3" style="0" width="12"/>
    <col collapsed="false" customWidth="true" hidden="false" outlineLevel="0" max="10" min="9" style="0" width="10"/>
    <col collapsed="false" customWidth="true" hidden="false" outlineLevel="0" max="11" min="11" style="0" width="9"/>
    <col collapsed="false" customWidth="true" hidden="false" outlineLevel="0" max="12" min="12" style="0" width="8"/>
    <col collapsed="false" customWidth="true" hidden="false" outlineLevel="0" max="14" min="13" style="0" width="10"/>
    <col collapsed="false" customWidth="true" hidden="false" outlineLevel="0" max="15" min="15" style="0" width="12"/>
    <col collapsed="false" customWidth="true" hidden="false" outlineLevel="0" max="16" min="16" style="0" width="28"/>
    <col collapsed="false" customWidth="true" hidden="false" outlineLevel="0" max="17" min="17" style="0" width="9"/>
  </cols>
  <sheetData>
    <row r="1" customFormat="false" ht="30" hidden="false" customHeight="true" outlineLevel="0" collapsed="false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5" hidden="false" customHeight="false" outlineLevel="0" collapsed="false">
      <c r="A2" s="2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customFormat="false" ht="19.5" hidden="false" customHeight="true" outlineLevel="0" collapsed="false">
      <c r="A4" s="3"/>
      <c r="B4" s="3"/>
      <c r="C4" s="4" t="s">
        <v>179</v>
      </c>
      <c r="D4" s="4"/>
      <c r="E4" s="4"/>
      <c r="F4" s="4"/>
      <c r="G4" s="4"/>
      <c r="H4" s="4"/>
      <c r="I4" s="31" t="s">
        <v>180</v>
      </c>
      <c r="J4" s="31"/>
      <c r="K4" s="31"/>
      <c r="L4" s="31"/>
      <c r="M4" s="31"/>
      <c r="N4" s="31"/>
      <c r="O4" s="31"/>
      <c r="P4" s="31"/>
      <c r="Q4" s="3"/>
    </row>
    <row r="5" customFormat="false" ht="33.75" hidden="false" customHeight="true" outlineLevel="0" collapsed="false">
      <c r="A5" s="16" t="s">
        <v>124</v>
      </c>
      <c r="B5" s="16" t="s">
        <v>169</v>
      </c>
      <c r="C5" s="16" t="str">
        <f aca="false">IF(Settings!$B$19="","",Settings!$B$19)</f>
        <v>Mathematics</v>
      </c>
      <c r="D5" s="16" t="str">
        <f aca="false">IF(Settings!$B$20="","",Settings!$B$20)</f>
        <v>English Language</v>
      </c>
      <c r="E5" s="16" t="str">
        <f aca="false">IF(Settings!$B$21="","",Settings!$B$21)</f>
        <v>Science</v>
      </c>
      <c r="F5" s="16" t="str">
        <f aca="false">IF(Settings!$B$22="","",Settings!$B$22)</f>
        <v>Social Studies</v>
      </c>
      <c r="G5" s="16" t="str">
        <f aca="false">IF(Settings!$B$23="","",Settings!$B$23)</f>
        <v>ICT</v>
      </c>
      <c r="H5" s="16" t="str">
        <f aca="false">IF(Settings!$B$24="","",Settings!$B$24)</f>
        <v>Creative Arts</v>
      </c>
      <c r="I5" s="16" t="s">
        <v>181</v>
      </c>
      <c r="J5" s="16" t="s">
        <v>182</v>
      </c>
      <c r="K5" s="16" t="s">
        <v>102</v>
      </c>
      <c r="L5" s="16" t="s">
        <v>183</v>
      </c>
      <c r="M5" s="16" t="s">
        <v>184</v>
      </c>
      <c r="N5" s="16" t="s">
        <v>185</v>
      </c>
      <c r="O5" s="16" t="s">
        <v>33</v>
      </c>
      <c r="P5" s="16" t="s">
        <v>35</v>
      </c>
      <c r="Q5" s="32" t="s">
        <v>186</v>
      </c>
    </row>
    <row r="6" customFormat="false" ht="15" hidden="false" customHeight="false" outlineLevel="0" collapsed="false">
      <c r="A6" s="25" t="str">
        <f aca="false">IF(Students!A6="","",Students!A6)</f>
        <v>S001</v>
      </c>
      <c r="B6" s="26" t="str">
        <f aca="false">IF(Students!A6="","",Students!B6)</f>
        <v>Ava Thompson</v>
      </c>
      <c r="C6" s="33" t="n">
        <f aca="false">IF(OR($A6="",Scores!C6="",Scores!D6=""),"",ROUND(Scores!C6*Settings!$B$13+Scores!D6*Settings!$B$14,1))</f>
        <v>81.4</v>
      </c>
      <c r="D6" s="33" t="n">
        <f aca="false">IF(OR($A6="",Scores!E6="",Scores!F6=""),"",ROUND(Scores!E6*Settings!$B$13+Scores!F6*Settings!$B$14,1))</f>
        <v>83.2</v>
      </c>
      <c r="E6" s="33" t="n">
        <f aca="false">IF(OR($A6="",Scores!G6="",Scores!H6=""),"",ROUND(Scores!G6*Settings!$B$13+Scores!H6*Settings!$B$14,1))</f>
        <v>86</v>
      </c>
      <c r="F6" s="33" t="n">
        <f aca="false">IF(OR($A6="",Scores!I6="",Scores!J6=""),"",ROUND(Scores!I6*Settings!$B$13+Scores!J6*Settings!$B$14,1))</f>
        <v>84.2</v>
      </c>
      <c r="G6" s="33" t="n">
        <f aca="false">IF(OR($A6="",Scores!K6="",Scores!L6=""),"",ROUND(Scores!K6*Settings!$B$13+Scores!L6*Settings!$B$14,1))</f>
        <v>83.6</v>
      </c>
      <c r="H6" s="33" t="n">
        <f aca="false">IF(OR($A6="",Scores!M6="",Scores!N6=""),"",ROUND(Scores!M6*Settings!$B$13+Scores!N6*Settings!$B$14,1))</f>
        <v>78.8</v>
      </c>
      <c r="I6" s="33" t="n">
        <f aca="false">IF(COUNT(C6:H6)=0,"",SUM(C6:H6))</f>
        <v>497.2</v>
      </c>
      <c r="J6" s="34" t="n">
        <f aca="false">IF(COUNT(C6:H6)=0,"",ROUND(AVERAGE(C6:H6),1))</f>
        <v>82.9</v>
      </c>
      <c r="K6" s="35" t="str">
        <f aca="false">IF(J6="","",INDEX(Settings!$B$28:$B$33,MATCH(J6,Settings!$A$28:$A$33,1)))</f>
        <v>A</v>
      </c>
      <c r="L6" s="28" t="n">
        <f aca="false">IF(J6="","",RANK(J6,$J$6:$J$45,0))</f>
        <v>1</v>
      </c>
      <c r="M6" s="17" t="str">
        <f aca="false">IF(L6="","",L6&amp;IF(AND(MOD(L6,100)&gt;=11,MOD(L6,100)&lt;=13),"th",CHOOSE(MOD(L6,10)+1,"th","st","nd","rd","th","th","th","th","th","th")))</f>
        <v>1st</v>
      </c>
      <c r="N6" s="29" t="n">
        <f aca="false">IF(J6="","",COUNTIF(C6:H6,"&gt;="&amp;Settings!$B$11))</f>
        <v>6</v>
      </c>
      <c r="O6" s="30" t="n">
        <f aca="false">IF(Attendance!F6="","",Attendance!F6)</f>
        <v>0.983333333333333</v>
      </c>
      <c r="P6" s="8" t="str">
        <f aca="false">IF(J6="","",IF(AND(J6&gt;=Settings!$B$11,OR(O6="",O6&gt;=Settings!$B$12)),"Promoted",IF(J6&lt;Settings!$B$11,IF(AND(O6&lt;&gt;"",O6&lt;Settings!$B$12),"At Risk - Academic &amp; Attendance","At Risk - Academic"),"At Risk - Attendance")))</f>
        <v>Promoted</v>
      </c>
      <c r="Q6" s="36" t="n">
        <f aca="false">IF(J6="","",L6+COUNTIF($J$5:J5,J6))</f>
        <v>1</v>
      </c>
    </row>
    <row r="7" customFormat="false" ht="15" hidden="false" customHeight="false" outlineLevel="0" collapsed="false">
      <c r="A7" s="25" t="str">
        <f aca="false">IF(Students!A7="","",Students!A7)</f>
        <v>S002</v>
      </c>
      <c r="B7" s="26" t="str">
        <f aca="false">IF(Students!A7="","",Students!B7)</f>
        <v>Noah Williams</v>
      </c>
      <c r="C7" s="33" t="n">
        <f aca="false">IF(OR($A7="",Scores!C7="",Scores!D7=""),"",ROUND(Scores!C7*Settings!$B$13+Scores!D7*Settings!$B$14,1))</f>
        <v>85.2</v>
      </c>
      <c r="D7" s="33" t="n">
        <f aca="false">IF(OR($A7="",Scores!E7="",Scores!F7=""),"",ROUND(Scores!E7*Settings!$B$13+Scores!F7*Settings!$B$14,1))</f>
        <v>75</v>
      </c>
      <c r="E7" s="33" t="n">
        <f aca="false">IF(OR($A7="",Scores!G7="",Scores!H7=""),"",ROUND(Scores!G7*Settings!$B$13+Scores!H7*Settings!$B$14,1))</f>
        <v>88.2</v>
      </c>
      <c r="F7" s="33" t="n">
        <f aca="false">IF(OR($A7="",Scores!I7="",Scores!J7=""),"",ROUND(Scores!I7*Settings!$B$13+Scores!J7*Settings!$B$14,1))</f>
        <v>80.6</v>
      </c>
      <c r="G7" s="33" t="n">
        <f aca="false">IF(OR($A7="",Scores!K7="",Scores!L7=""),"",ROUND(Scores!K7*Settings!$B$13+Scores!L7*Settings!$B$14,1))</f>
        <v>79</v>
      </c>
      <c r="H7" s="33" t="n">
        <f aca="false">IF(OR($A7="",Scores!M7="",Scores!N7=""),"",ROUND(Scores!M7*Settings!$B$13+Scores!N7*Settings!$B$14,1))</f>
        <v>80.8</v>
      </c>
      <c r="I7" s="33" t="n">
        <f aca="false">IF(COUNT(C7:H7)=0,"",SUM(C7:H7))</f>
        <v>488.8</v>
      </c>
      <c r="J7" s="34" t="n">
        <f aca="false">IF(COUNT(C7:H7)=0,"",ROUND(AVERAGE(C7:H7),1))</f>
        <v>81.5</v>
      </c>
      <c r="K7" s="35" t="str">
        <f aca="false">IF(J7="","",INDEX(Settings!$B$28:$B$33,MATCH(J7,Settings!$A$28:$A$33,1)))</f>
        <v>A</v>
      </c>
      <c r="L7" s="28" t="n">
        <f aca="false">IF(J7="","",RANK(J7,$J$6:$J$45,0))</f>
        <v>2</v>
      </c>
      <c r="M7" s="17" t="str">
        <f aca="false">IF(L7="","",L7&amp;IF(AND(MOD(L7,100)&gt;=11,MOD(L7,100)&lt;=13),"th",CHOOSE(MOD(L7,10)+1,"th","st","nd","rd","th","th","th","th","th","th")))</f>
        <v>2nd</v>
      </c>
      <c r="N7" s="29" t="n">
        <f aca="false">IF(J7="","",COUNTIF(C7:H7,"&gt;="&amp;Settings!$B$11))</f>
        <v>6</v>
      </c>
      <c r="O7" s="30" t="n">
        <f aca="false">IF(Attendance!F7="","",Attendance!F7)</f>
        <v>0.966666666666667</v>
      </c>
      <c r="P7" s="8" t="str">
        <f aca="false">IF(J7="","",IF(AND(J7&gt;=Settings!$B$11,OR(O7="",O7&gt;=Settings!$B$12)),"Promoted",IF(J7&lt;Settings!$B$11,IF(AND(O7&lt;&gt;"",O7&lt;Settings!$B$12),"At Risk - Academic &amp; Attendance","At Risk - Academic"),"At Risk - Attendance")))</f>
        <v>Promoted</v>
      </c>
      <c r="Q7" s="36" t="n">
        <f aca="false">IF(J7="","",L7+COUNTIF($J$5:J6,J7))</f>
        <v>2</v>
      </c>
    </row>
    <row r="8" customFormat="false" ht="15" hidden="false" customHeight="false" outlineLevel="0" collapsed="false">
      <c r="A8" s="25" t="str">
        <f aca="false">IF(Students!A8="","",Students!A8)</f>
        <v>S003</v>
      </c>
      <c r="B8" s="26" t="str">
        <f aca="false">IF(Students!A8="","",Students!B8)</f>
        <v>Mia Hernandez</v>
      </c>
      <c r="C8" s="33" t="n">
        <f aca="false">IF(OR($A8="",Scores!C8="",Scores!D8=""),"",ROUND(Scores!C8*Settings!$B$13+Scores!D8*Settings!$B$14,1))</f>
        <v>68.2</v>
      </c>
      <c r="D8" s="33" t="n">
        <f aca="false">IF(OR($A8="",Scores!E8="",Scores!F8=""),"",ROUND(Scores!E8*Settings!$B$13+Scores!F8*Settings!$B$14,1))</f>
        <v>78.4</v>
      </c>
      <c r="E8" s="33" t="n">
        <f aca="false">IF(OR($A8="",Scores!G8="",Scores!H8=""),"",ROUND(Scores!G8*Settings!$B$13+Scores!H8*Settings!$B$14,1))</f>
        <v>74.2</v>
      </c>
      <c r="F8" s="33" t="n">
        <f aca="false">IF(OR($A8="",Scores!I8="",Scores!J8=""),"",ROUND(Scores!I8*Settings!$B$13+Scores!J8*Settings!$B$14,1))</f>
        <v>74.8</v>
      </c>
      <c r="G8" s="33" t="n">
        <f aca="false">IF(OR($A8="",Scores!K8="",Scores!L8=""),"",ROUND(Scores!K8*Settings!$B$13+Scores!L8*Settings!$B$14,1))</f>
        <v>69.8</v>
      </c>
      <c r="H8" s="33" t="n">
        <f aca="false">IF(OR($A8="",Scores!M8="",Scores!N8=""),"",ROUND(Scores!M8*Settings!$B$13+Scores!N8*Settings!$B$14,1))</f>
        <v>68.6</v>
      </c>
      <c r="I8" s="33" t="n">
        <f aca="false">IF(COUNT(C8:H8)=0,"",SUM(C8:H8))</f>
        <v>434</v>
      </c>
      <c r="J8" s="34" t="n">
        <f aca="false">IF(COUNT(C8:H8)=0,"",ROUND(AVERAGE(C8:H8),1))</f>
        <v>72.3</v>
      </c>
      <c r="K8" s="35" t="str">
        <f aca="false">IF(J8="","",INDEX(Settings!$B$28:$B$33,MATCH(J8,Settings!$A$28:$A$33,1)))</f>
        <v>B</v>
      </c>
      <c r="L8" s="28" t="n">
        <f aca="false">IF(J8="","",RANK(J8,$J$6:$J$45,0))</f>
        <v>3</v>
      </c>
      <c r="M8" s="17" t="str">
        <f aca="false">IF(L8="","",L8&amp;IF(AND(MOD(L8,100)&gt;=11,MOD(L8,100)&lt;=13),"th",CHOOSE(MOD(L8,10)+1,"th","st","nd","rd","th","th","th","th","th","th")))</f>
        <v>3rd</v>
      </c>
      <c r="N8" s="29" t="n">
        <f aca="false">IF(J8="","",COUNTIF(C8:H8,"&gt;="&amp;Settings!$B$11))</f>
        <v>6</v>
      </c>
      <c r="O8" s="30" t="n">
        <f aca="false">IF(Attendance!F8="","",Attendance!F8)</f>
        <v>0.95</v>
      </c>
      <c r="P8" s="8" t="str">
        <f aca="false">IF(J8="","",IF(AND(J8&gt;=Settings!$B$11,OR(O8="",O8&gt;=Settings!$B$12)),"Promoted",IF(J8&lt;Settings!$B$11,IF(AND(O8&lt;&gt;"",O8&lt;Settings!$B$12),"At Risk - Academic &amp; Attendance","At Risk - Academic"),"At Risk - Attendance")))</f>
        <v>Promoted</v>
      </c>
      <c r="Q8" s="36" t="n">
        <f aca="false">IF(J8="","",L8+COUNTIF($J$5:J7,J8))</f>
        <v>3</v>
      </c>
    </row>
    <row r="9" customFormat="false" ht="15" hidden="false" customHeight="false" outlineLevel="0" collapsed="false">
      <c r="A9" s="25" t="str">
        <f aca="false">IF(Students!A9="","",Students!A9)</f>
        <v>S004</v>
      </c>
      <c r="B9" s="26" t="str">
        <f aca="false">IF(Students!A9="","",Students!B9)</f>
        <v>Ethan Brown</v>
      </c>
      <c r="C9" s="33" t="n">
        <f aca="false">IF(OR($A9="",Scores!C9="",Scores!D9=""),"",ROUND(Scores!C9*Settings!$B$13+Scores!D9*Settings!$B$14,1))</f>
        <v>70.4</v>
      </c>
      <c r="D9" s="33" t="n">
        <f aca="false">IF(OR($A9="",Scores!E9="",Scores!F9=""),"",ROUND(Scores!E9*Settings!$B$13+Scores!F9*Settings!$B$14,1))</f>
        <v>70.4</v>
      </c>
      <c r="E9" s="33" t="n">
        <f aca="false">IF(OR($A9="",Scores!G9="",Scores!H9=""),"",ROUND(Scores!G9*Settings!$B$13+Scores!H9*Settings!$B$14,1))</f>
        <v>67.6</v>
      </c>
      <c r="F9" s="33" t="n">
        <f aca="false">IF(OR($A9="",Scores!I9="",Scores!J9=""),"",ROUND(Scores!I9*Settings!$B$13+Scores!J9*Settings!$B$14,1))</f>
        <v>74.8</v>
      </c>
      <c r="G9" s="33" t="n">
        <f aca="false">IF(OR($A9="",Scores!K9="",Scores!L9=""),"",ROUND(Scores!K9*Settings!$B$13+Scores!L9*Settings!$B$14,1))</f>
        <v>69.6</v>
      </c>
      <c r="H9" s="33" t="n">
        <f aca="false">IF(OR($A9="",Scores!M9="",Scores!N9=""),"",ROUND(Scores!M9*Settings!$B$13+Scores!N9*Settings!$B$14,1))</f>
        <v>75.2</v>
      </c>
      <c r="I9" s="33" t="n">
        <f aca="false">IF(COUNT(C9:H9)=0,"",SUM(C9:H9))</f>
        <v>428</v>
      </c>
      <c r="J9" s="34" t="n">
        <f aca="false">IF(COUNT(C9:H9)=0,"",ROUND(AVERAGE(C9:H9),1))</f>
        <v>71.3</v>
      </c>
      <c r="K9" s="35" t="str">
        <f aca="false">IF(J9="","",INDEX(Settings!$B$28:$B$33,MATCH(J9,Settings!$A$28:$A$33,1)))</f>
        <v>B</v>
      </c>
      <c r="L9" s="28" t="n">
        <f aca="false">IF(J9="","",RANK(J9,$J$6:$J$45,0))</f>
        <v>4</v>
      </c>
      <c r="M9" s="17" t="str">
        <f aca="false">IF(L9="","",L9&amp;IF(AND(MOD(L9,100)&gt;=11,MOD(L9,100)&lt;=13),"th",CHOOSE(MOD(L9,10)+1,"th","st","nd","rd","th","th","th","th","th","th")))</f>
        <v>4th</v>
      </c>
      <c r="N9" s="29" t="n">
        <f aca="false">IF(J9="","",COUNTIF(C9:H9,"&gt;="&amp;Settings!$B$11))</f>
        <v>6</v>
      </c>
      <c r="O9" s="30" t="n">
        <f aca="false">IF(Attendance!F9="","",Attendance!F9)</f>
        <v>1</v>
      </c>
      <c r="P9" s="8" t="str">
        <f aca="false">IF(J9="","",IF(AND(J9&gt;=Settings!$B$11,OR(O9="",O9&gt;=Settings!$B$12)),"Promoted",IF(J9&lt;Settings!$B$11,IF(AND(O9&lt;&gt;"",O9&lt;Settings!$B$12),"At Risk - Academic &amp; Attendance","At Risk - Academic"),"At Risk - Attendance")))</f>
        <v>Promoted</v>
      </c>
      <c r="Q9" s="36" t="n">
        <f aca="false">IF(J9="","",L9+COUNTIF($J$5:J8,J9))</f>
        <v>4</v>
      </c>
    </row>
    <row r="10" customFormat="false" ht="15" hidden="false" customHeight="false" outlineLevel="0" collapsed="false">
      <c r="A10" s="25" t="str">
        <f aca="false">IF(Students!A10="","",Students!A10)</f>
        <v>S005</v>
      </c>
      <c r="B10" s="26" t="str">
        <f aca="false">IF(Students!A10="","",Students!B10)</f>
        <v>Zara Khan</v>
      </c>
      <c r="C10" s="33" t="n">
        <f aca="false">IF(OR($A10="",Scores!C10="",Scores!D10=""),"",ROUND(Scores!C10*Settings!$B$13+Scores!D10*Settings!$B$14,1))</f>
        <v>64</v>
      </c>
      <c r="D10" s="33" t="n">
        <f aca="false">IF(OR($A10="",Scores!E10="",Scores!F10=""),"",ROUND(Scores!E10*Settings!$B$13+Scores!F10*Settings!$B$14,1))</f>
        <v>64.2</v>
      </c>
      <c r="E10" s="33" t="n">
        <f aca="false">IF(OR($A10="",Scores!G10="",Scores!H10=""),"",ROUND(Scores!G10*Settings!$B$13+Scores!H10*Settings!$B$14,1))</f>
        <v>68.6</v>
      </c>
      <c r="F10" s="33" t="n">
        <f aca="false">IF(OR($A10="",Scores!I10="",Scores!J10=""),"",ROUND(Scores!I10*Settings!$B$13+Scores!J10*Settings!$B$14,1))</f>
        <v>63</v>
      </c>
      <c r="G10" s="33" t="n">
        <f aca="false">IF(OR($A10="",Scores!K10="",Scores!L10=""),"",ROUND(Scores!K10*Settings!$B$13+Scores!L10*Settings!$B$14,1))</f>
        <v>64.6</v>
      </c>
      <c r="H10" s="33" t="n">
        <f aca="false">IF(OR($A10="",Scores!M10="",Scores!N10=""),"",ROUND(Scores!M10*Settings!$B$13+Scores!N10*Settings!$B$14,1))</f>
        <v>68.6</v>
      </c>
      <c r="I10" s="33" t="n">
        <f aca="false">IF(COUNT(C10:H10)=0,"",SUM(C10:H10))</f>
        <v>393</v>
      </c>
      <c r="J10" s="34" t="n">
        <f aca="false">IF(COUNT(C10:H10)=0,"",ROUND(AVERAGE(C10:H10),1))</f>
        <v>65.5</v>
      </c>
      <c r="K10" s="35" t="str">
        <f aca="false">IF(J10="","",INDEX(Settings!$B$28:$B$33,MATCH(J10,Settings!$A$28:$A$33,1)))</f>
        <v>C</v>
      </c>
      <c r="L10" s="28" t="n">
        <f aca="false">IF(J10="","",RANK(J10,$J$6:$J$45,0))</f>
        <v>6</v>
      </c>
      <c r="M10" s="17" t="str">
        <f aca="false">IF(L10="","",L10&amp;IF(AND(MOD(L10,100)&gt;=11,MOD(L10,100)&lt;=13),"th",CHOOSE(MOD(L10,10)+1,"th","st","nd","rd","th","th","th","th","th","th")))</f>
        <v>6th</v>
      </c>
      <c r="N10" s="29" t="n">
        <f aca="false">IF(J10="","",COUNTIF(C10:H10,"&gt;="&amp;Settings!$B$11))</f>
        <v>6</v>
      </c>
      <c r="O10" s="30" t="n">
        <f aca="false">IF(Attendance!F10="","",Attendance!F10)</f>
        <v>0.916666666666667</v>
      </c>
      <c r="P10" s="8" t="str">
        <f aca="false">IF(J10="","",IF(AND(J10&gt;=Settings!$B$11,OR(O10="",O10&gt;=Settings!$B$12)),"Promoted",IF(J10&lt;Settings!$B$11,IF(AND(O10&lt;&gt;"",O10&lt;Settings!$B$12),"At Risk - Academic &amp; Attendance","At Risk - Academic"),"At Risk - Attendance")))</f>
        <v>Promoted</v>
      </c>
      <c r="Q10" s="36" t="n">
        <f aca="false">IF(J10="","",L10+COUNTIF($J$5:J9,J10))</f>
        <v>6</v>
      </c>
    </row>
    <row r="11" customFormat="false" ht="15" hidden="false" customHeight="false" outlineLevel="0" collapsed="false">
      <c r="A11" s="25" t="str">
        <f aca="false">IF(Students!A11="","",Students!A11)</f>
        <v>S006</v>
      </c>
      <c r="B11" s="26" t="str">
        <f aca="false">IF(Students!A11="","",Students!B11)</f>
        <v>Lucas Martin</v>
      </c>
      <c r="C11" s="33" t="n">
        <f aca="false">IF(OR($A11="",Scores!C11="",Scores!D11=""),"",ROUND(Scores!C11*Settings!$B$13+Scores!D11*Settings!$B$14,1))</f>
        <v>61.8</v>
      </c>
      <c r="D11" s="33" t="n">
        <f aca="false">IF(OR($A11="",Scores!E11="",Scores!F11=""),"",ROUND(Scores!E11*Settings!$B$13+Scores!F11*Settings!$B$14,1))</f>
        <v>64.2</v>
      </c>
      <c r="E11" s="33" t="n">
        <f aca="false">IF(OR($A11="",Scores!G11="",Scores!H11=""),"",ROUND(Scores!G11*Settings!$B$13+Scores!H11*Settings!$B$14,1))</f>
        <v>61.2</v>
      </c>
      <c r="F11" s="33" t="n">
        <f aca="false">IF(OR($A11="",Scores!I11="",Scores!J11=""),"",ROUND(Scores!I11*Settings!$B$13+Scores!J11*Settings!$B$14,1))</f>
        <v>69.8</v>
      </c>
      <c r="G11" s="33" t="n">
        <f aca="false">IF(OR($A11="",Scores!K11="",Scores!L11=""),"",ROUND(Scores!K11*Settings!$B$13+Scores!L11*Settings!$B$14,1))</f>
        <v>63.8</v>
      </c>
      <c r="H11" s="33" t="n">
        <f aca="false">IF(OR($A11="",Scores!M11="",Scores!N11=""),"",ROUND(Scores!M11*Settings!$B$13+Scores!N11*Settings!$B$14,1))</f>
        <v>60.6</v>
      </c>
      <c r="I11" s="33" t="n">
        <f aca="false">IF(COUNT(C11:H11)=0,"",SUM(C11:H11))</f>
        <v>381.4</v>
      </c>
      <c r="J11" s="34" t="n">
        <f aca="false">IF(COUNT(C11:H11)=0,"",ROUND(AVERAGE(C11:H11),1))</f>
        <v>63.6</v>
      </c>
      <c r="K11" s="35" t="str">
        <f aca="false">IF(J11="","",INDEX(Settings!$B$28:$B$33,MATCH(J11,Settings!$A$28:$A$33,1)))</f>
        <v>C</v>
      </c>
      <c r="L11" s="28" t="n">
        <f aca="false">IF(J11="","",RANK(J11,$J$6:$J$45,0))</f>
        <v>7</v>
      </c>
      <c r="M11" s="17" t="str">
        <f aca="false">IF(L11="","",L11&amp;IF(AND(MOD(L11,100)&gt;=11,MOD(L11,100)&lt;=13),"th",CHOOSE(MOD(L11,10)+1,"th","st","nd","rd","th","th","th","th","th","th")))</f>
        <v>7th</v>
      </c>
      <c r="N11" s="29" t="n">
        <f aca="false">IF(J11="","",COUNTIF(C11:H11,"&gt;="&amp;Settings!$B$11))</f>
        <v>6</v>
      </c>
      <c r="O11" s="30" t="n">
        <f aca="false">IF(Attendance!F11="","",Attendance!F11)</f>
        <v>0.866666666666667</v>
      </c>
      <c r="P11" s="8" t="str">
        <f aca="false">IF(J11="","",IF(AND(J11&gt;=Settings!$B$11,OR(O11="",O11&gt;=Settings!$B$12)),"Promoted",IF(J11&lt;Settings!$B$11,IF(AND(O11&lt;&gt;"",O11&lt;Settings!$B$12),"At Risk - Academic &amp; Attendance","At Risk - Academic"),"At Risk - Attendance")))</f>
        <v>Promoted</v>
      </c>
      <c r="Q11" s="36" t="n">
        <f aca="false">IF(J11="","",L11+COUNTIF($J$5:J10,J11))</f>
        <v>7</v>
      </c>
    </row>
    <row r="12" customFormat="false" ht="15" hidden="false" customHeight="false" outlineLevel="0" collapsed="false">
      <c r="A12" s="25" t="str">
        <f aca="false">IF(Students!A12="","",Students!A12)</f>
        <v>S007</v>
      </c>
      <c r="B12" s="26" t="str">
        <f aca="false">IF(Students!A12="","",Students!B12)</f>
        <v>Chloe Nguyen</v>
      </c>
      <c r="C12" s="33" t="n">
        <f aca="false">IF(OR($A12="",Scores!C12="",Scores!D12=""),"",ROUND(Scores!C12*Settings!$B$13+Scores!D12*Settings!$B$14,1))</f>
        <v>65.2</v>
      </c>
      <c r="D12" s="33" t="n">
        <f aca="false">IF(OR($A12="",Scores!E12="",Scores!F12=""),"",ROUND(Scores!E12*Settings!$B$13+Scores!F12*Settings!$B$14,1))</f>
        <v>56.8</v>
      </c>
      <c r="E12" s="33" t="n">
        <f aca="false">IF(OR($A12="",Scores!G12="",Scores!H12=""),"",ROUND(Scores!G12*Settings!$B$13+Scores!H12*Settings!$B$14,1))</f>
        <v>59</v>
      </c>
      <c r="F12" s="33" t="n">
        <f aca="false">IF(OR($A12="",Scores!I12="",Scores!J12=""),"",ROUND(Scores!I12*Settings!$B$13+Scores!J12*Settings!$B$14,1))</f>
        <v>53.2</v>
      </c>
      <c r="G12" s="33" t="n">
        <f aca="false">IF(OR($A12="",Scores!K12="",Scores!L12=""),"",ROUND(Scores!K12*Settings!$B$13+Scores!L12*Settings!$B$14,1))</f>
        <v>50.2</v>
      </c>
      <c r="H12" s="33" t="n">
        <f aca="false">IF(OR($A12="",Scores!M12="",Scores!N12=""),"",ROUND(Scores!M12*Settings!$B$13+Scores!N12*Settings!$B$14,1))</f>
        <v>57.8</v>
      </c>
      <c r="I12" s="33" t="n">
        <f aca="false">IF(COUNT(C12:H12)=0,"",SUM(C12:H12))</f>
        <v>342.2</v>
      </c>
      <c r="J12" s="34" t="n">
        <f aca="false">IF(COUNT(C12:H12)=0,"",ROUND(AVERAGE(C12:H12),1))</f>
        <v>57</v>
      </c>
      <c r="K12" s="35" t="str">
        <f aca="false">IF(J12="","",INDEX(Settings!$B$28:$B$33,MATCH(J12,Settings!$A$28:$A$33,1)))</f>
        <v>D</v>
      </c>
      <c r="L12" s="28" t="n">
        <f aca="false">IF(J12="","",RANK(J12,$J$6:$J$45,0))</f>
        <v>8</v>
      </c>
      <c r="M12" s="17" t="str">
        <f aca="false">IF(L12="","",L12&amp;IF(AND(MOD(L12,100)&gt;=11,MOD(L12,100)&lt;=13),"th",CHOOSE(MOD(L12,10)+1,"th","st","nd","rd","th","th","th","th","th","th")))</f>
        <v>8th</v>
      </c>
      <c r="N12" s="29" t="n">
        <f aca="false">IF(J12="","",COUNTIF(C12:H12,"&gt;="&amp;Settings!$B$11))</f>
        <v>6</v>
      </c>
      <c r="O12" s="30" t="n">
        <f aca="false">IF(Attendance!F12="","",Attendance!F12)</f>
        <v>0.933333333333333</v>
      </c>
      <c r="P12" s="8" t="str">
        <f aca="false">IF(J12="","",IF(AND(J12&gt;=Settings!$B$11,OR(O12="",O12&gt;=Settings!$B$12)),"Promoted",IF(J12&lt;Settings!$B$11,IF(AND(O12&lt;&gt;"",O12&lt;Settings!$B$12),"At Risk - Academic &amp; Attendance","At Risk - Academic"),"At Risk - Attendance")))</f>
        <v>Promoted</v>
      </c>
      <c r="Q12" s="36" t="n">
        <f aca="false">IF(J12="","",L12+COUNTIF($J$5:J11,J12))</f>
        <v>8</v>
      </c>
    </row>
    <row r="13" customFormat="false" ht="15" hidden="false" customHeight="false" outlineLevel="0" collapsed="false">
      <c r="A13" s="25" t="str">
        <f aca="false">IF(Students!A13="","",Students!A13)</f>
        <v>S008</v>
      </c>
      <c r="B13" s="26" t="str">
        <f aca="false">IF(Students!A13="","",Students!B13)</f>
        <v>Daniel Kim</v>
      </c>
      <c r="C13" s="33" t="n">
        <f aca="false">IF(OR($A13="",Scores!C13="",Scores!D13=""),"",ROUND(Scores!C13*Settings!$B$13+Scores!D13*Settings!$B$14,1))</f>
        <v>48</v>
      </c>
      <c r="D13" s="33" t="n">
        <f aca="false">IF(OR($A13="",Scores!E13="",Scores!F13=""),"",ROUND(Scores!E13*Settings!$B$13+Scores!F13*Settings!$B$14,1))</f>
        <v>58.4</v>
      </c>
      <c r="E13" s="33" t="n">
        <f aca="false">IF(OR($A13="",Scores!G13="",Scores!H13=""),"",ROUND(Scores!G13*Settings!$B$13+Scores!H13*Settings!$B$14,1))</f>
        <v>50.6</v>
      </c>
      <c r="F13" s="33" t="n">
        <f aca="false">IF(OR($A13="",Scores!I13="",Scores!J13=""),"",ROUND(Scores!I13*Settings!$B$13+Scores!J13*Settings!$B$14,1))</f>
        <v>59.6</v>
      </c>
      <c r="G13" s="33" t="n">
        <f aca="false">IF(OR($A13="",Scores!K13="",Scores!L13=""),"",ROUND(Scores!K13*Settings!$B$13+Scores!L13*Settings!$B$14,1))</f>
        <v>61.6</v>
      </c>
      <c r="H13" s="33" t="n">
        <f aca="false">IF(OR($A13="",Scores!M13="",Scores!N13=""),"",ROUND(Scores!M13*Settings!$B$13+Scores!N13*Settings!$B$14,1))</f>
        <v>51.6</v>
      </c>
      <c r="I13" s="33" t="n">
        <f aca="false">IF(COUNT(C13:H13)=0,"",SUM(C13:H13))</f>
        <v>329.8</v>
      </c>
      <c r="J13" s="34" t="n">
        <f aca="false">IF(COUNT(C13:H13)=0,"",ROUND(AVERAGE(C13:H13),1))</f>
        <v>55</v>
      </c>
      <c r="K13" s="35" t="str">
        <f aca="false">IF(J13="","",INDEX(Settings!$B$28:$B$33,MATCH(J13,Settings!$A$28:$A$33,1)))</f>
        <v>D</v>
      </c>
      <c r="L13" s="28" t="n">
        <f aca="false">IF(J13="","",RANK(J13,$J$6:$J$45,0))</f>
        <v>9</v>
      </c>
      <c r="M13" s="17" t="str">
        <f aca="false">IF(L13="","",L13&amp;IF(AND(MOD(L13,100)&gt;=11,MOD(L13,100)&lt;=13),"th",CHOOSE(MOD(L13,10)+1,"th","st","nd","rd","th","th","th","th","th","th")))</f>
        <v>9th</v>
      </c>
      <c r="N13" s="29" t="n">
        <f aca="false">IF(J13="","",COUNTIF(C13:H13,"&gt;="&amp;Settings!$B$11))</f>
        <v>5</v>
      </c>
      <c r="O13" s="30" t="n">
        <f aca="false">IF(Attendance!F13="","",Attendance!F13)</f>
        <v>0.833333333333333</v>
      </c>
      <c r="P13" s="8" t="str">
        <f aca="false">IF(J13="","",IF(AND(J13&gt;=Settings!$B$11,OR(O13="",O13&gt;=Settings!$B$12)),"Promoted",IF(J13&lt;Settings!$B$11,IF(AND(O13&lt;&gt;"",O13&lt;Settings!$B$12),"At Risk - Academic &amp; Attendance","At Risk - Academic"),"At Risk - Attendance")))</f>
        <v>Promoted</v>
      </c>
      <c r="Q13" s="36" t="n">
        <f aca="false">IF(J13="","",L13+COUNTIF($J$5:J12,J13))</f>
        <v>9</v>
      </c>
    </row>
    <row r="14" customFormat="false" ht="15" hidden="false" customHeight="false" outlineLevel="0" collapsed="false">
      <c r="A14" s="25" t="str">
        <f aca="false">IF(Students!A14="","",Students!A14)</f>
        <v>S009</v>
      </c>
      <c r="B14" s="26" t="str">
        <f aca="false">IF(Students!A14="","",Students!B14)</f>
        <v>Grace Adeyemi</v>
      </c>
      <c r="C14" s="33" t="n">
        <f aca="false">IF(OR($A14="",Scores!C14="",Scores!D14=""),"",ROUND(Scores!C14*Settings!$B$13+Scores!D14*Settings!$B$14,1))</f>
        <v>53</v>
      </c>
      <c r="D14" s="33" t="n">
        <f aca="false">IF(OR($A14="",Scores!E14="",Scores!F14=""),"",ROUND(Scores!E14*Settings!$B$13+Scores!F14*Settings!$B$14,1))</f>
        <v>47.8</v>
      </c>
      <c r="E14" s="33" t="n">
        <f aca="false">IF(OR($A14="",Scores!G14="",Scores!H14=""),"",ROUND(Scores!G14*Settings!$B$13+Scores!H14*Settings!$B$14,1))</f>
        <v>43.4</v>
      </c>
      <c r="F14" s="33" t="n">
        <f aca="false">IF(OR($A14="",Scores!I14="",Scores!J14=""),"",ROUND(Scores!I14*Settings!$B$13+Scores!J14*Settings!$B$14,1))</f>
        <v>47.4</v>
      </c>
      <c r="G14" s="33" t="n">
        <f aca="false">IF(OR($A14="",Scores!K14="",Scores!L14=""),"",ROUND(Scores!K14*Settings!$B$13+Scores!L14*Settings!$B$14,1))</f>
        <v>47.2</v>
      </c>
      <c r="H14" s="33" t="n">
        <f aca="false">IF(OR($A14="",Scores!M14="",Scores!N14=""),"",ROUND(Scores!M14*Settings!$B$13+Scores!N14*Settings!$B$14,1))</f>
        <v>44.6</v>
      </c>
      <c r="I14" s="33" t="n">
        <f aca="false">IF(COUNT(C14:H14)=0,"",SUM(C14:H14))</f>
        <v>283.4</v>
      </c>
      <c r="J14" s="34" t="n">
        <f aca="false">IF(COUNT(C14:H14)=0,"",ROUND(AVERAGE(C14:H14),1))</f>
        <v>47.2</v>
      </c>
      <c r="K14" s="35" t="str">
        <f aca="false">IF(J14="","",INDEX(Settings!$B$28:$B$33,MATCH(J14,Settings!$A$28:$A$33,1)))</f>
        <v>E</v>
      </c>
      <c r="L14" s="28" t="n">
        <f aca="false">IF(J14="","",RANK(J14,$J$6:$J$45,0))</f>
        <v>11</v>
      </c>
      <c r="M14" s="17" t="str">
        <f aca="false">IF(L14="","",L14&amp;IF(AND(MOD(L14,100)&gt;=11,MOD(L14,100)&lt;=13),"th",CHOOSE(MOD(L14,10)+1,"th","st","nd","rd","th","th","th","th","th","th")))</f>
        <v>11th</v>
      </c>
      <c r="N14" s="29" t="n">
        <f aca="false">IF(J14="","",COUNTIF(C14:H14,"&gt;="&amp;Settings!$B$11))</f>
        <v>1</v>
      </c>
      <c r="O14" s="30" t="n">
        <f aca="false">IF(Attendance!F14="","",Attendance!F14)</f>
        <v>0.8</v>
      </c>
      <c r="P14" s="8" t="str">
        <f aca="false">IF(J14="","",IF(AND(J14&gt;=Settings!$B$11,OR(O14="",O14&gt;=Settings!$B$12)),"Promoted",IF(J14&lt;Settings!$B$11,IF(AND(O14&lt;&gt;"",O14&lt;Settings!$B$12),"At Risk - Academic &amp; Attendance","At Risk - Academic"),"At Risk - Attendance")))</f>
        <v>At Risk - Academic</v>
      </c>
      <c r="Q14" s="36" t="n">
        <f aca="false">IF(J14="","",L14+COUNTIF($J$5:J13,J14))</f>
        <v>11</v>
      </c>
    </row>
    <row r="15" customFormat="false" ht="15" hidden="false" customHeight="false" outlineLevel="0" collapsed="false">
      <c r="A15" s="25" t="str">
        <f aca="false">IF(Students!A15="","",Students!A15)</f>
        <v>S010</v>
      </c>
      <c r="B15" s="26" t="str">
        <f aca="false">IF(Students!A15="","",Students!B15)</f>
        <v>Oliver Patel</v>
      </c>
      <c r="C15" s="33" t="n">
        <f aca="false">IF(OR($A15="",Scores!C15="",Scores!D15=""),"",ROUND(Scores!C15*Settings!$B$13+Scores!D15*Settings!$B$14,1))</f>
        <v>45.2</v>
      </c>
      <c r="D15" s="33" t="n">
        <f aca="false">IF(OR($A15="",Scores!E15="",Scores!F15=""),"",ROUND(Scores!E15*Settings!$B$13+Scores!F15*Settings!$B$14,1))</f>
        <v>51</v>
      </c>
      <c r="E15" s="33" t="n">
        <f aca="false">IF(OR($A15="",Scores!G15="",Scores!H15=""),"",ROUND(Scores!G15*Settings!$B$13+Scores!H15*Settings!$B$14,1))</f>
        <v>47.2</v>
      </c>
      <c r="F15" s="33" t="n">
        <f aca="false">IF(OR($A15="",Scores!I15="",Scores!J15=""),"",ROUND(Scores!I15*Settings!$B$13+Scores!J15*Settings!$B$14,1))</f>
        <v>40.6</v>
      </c>
      <c r="G15" s="33" t="n">
        <f aca="false">IF(OR($A15="",Scores!K15="",Scores!L15=""),"",ROUND(Scores!K15*Settings!$B$13+Scores!L15*Settings!$B$14,1))</f>
        <v>51.8</v>
      </c>
      <c r="H15" s="33" t="n">
        <f aca="false">IF(OR($A15="",Scores!M15="",Scores!N15=""),"",ROUND(Scores!M15*Settings!$B$13+Scores!N15*Settings!$B$14,1))</f>
        <v>52.4</v>
      </c>
      <c r="I15" s="33" t="n">
        <f aca="false">IF(COUNT(C15:H15)=0,"",SUM(C15:H15))</f>
        <v>288.2</v>
      </c>
      <c r="J15" s="34" t="n">
        <f aca="false">IF(COUNT(C15:H15)=0,"",ROUND(AVERAGE(C15:H15),1))</f>
        <v>48</v>
      </c>
      <c r="K15" s="35" t="str">
        <f aca="false">IF(J15="","",INDEX(Settings!$B$28:$B$33,MATCH(J15,Settings!$A$28:$A$33,1)))</f>
        <v>E</v>
      </c>
      <c r="L15" s="28" t="n">
        <f aca="false">IF(J15="","",RANK(J15,$J$6:$J$45,0))</f>
        <v>10</v>
      </c>
      <c r="M15" s="17" t="str">
        <f aca="false">IF(L15="","",L15&amp;IF(AND(MOD(L15,100)&gt;=11,MOD(L15,100)&lt;=13),"th",CHOOSE(MOD(L15,10)+1,"th","st","nd","rd","th","th","th","th","th","th")))</f>
        <v>10th</v>
      </c>
      <c r="N15" s="29" t="n">
        <f aca="false">IF(J15="","",COUNTIF(C15:H15,"&gt;="&amp;Settings!$B$11))</f>
        <v>3</v>
      </c>
      <c r="O15" s="30" t="n">
        <f aca="false">IF(Attendance!F15="","",Attendance!F15)</f>
        <v>0.883333333333333</v>
      </c>
      <c r="P15" s="8" t="str">
        <f aca="false">IF(J15="","",IF(AND(J15&gt;=Settings!$B$11,OR(O15="",O15&gt;=Settings!$B$12)),"Promoted",IF(J15&lt;Settings!$B$11,IF(AND(O15&lt;&gt;"",O15&lt;Settings!$B$12),"At Risk - Academic &amp; Attendance","At Risk - Academic"),"At Risk - Attendance")))</f>
        <v>At Risk - Academic</v>
      </c>
      <c r="Q15" s="36" t="n">
        <f aca="false">IF(J15="","",L15+COUNTIF($J$5:J14,J15))</f>
        <v>10</v>
      </c>
    </row>
    <row r="16" customFormat="false" ht="15" hidden="false" customHeight="false" outlineLevel="0" collapsed="false">
      <c r="A16" s="25" t="str">
        <f aca="false">IF(Students!A16="","",Students!A16)</f>
        <v>S011</v>
      </c>
      <c r="B16" s="26" t="str">
        <f aca="false">IF(Students!A16="","",Students!B16)</f>
        <v>Isabella Rossi</v>
      </c>
      <c r="C16" s="33" t="n">
        <f aca="false">IF(OR($A16="",Scores!C16="",Scores!D16=""),"",ROUND(Scores!C16*Settings!$B$13+Scores!D16*Settings!$B$14,1))</f>
        <v>37.4</v>
      </c>
      <c r="D16" s="33" t="n">
        <f aca="false">IF(OR($A16="",Scores!E16="",Scores!F16=""),"",ROUND(Scores!E16*Settings!$B$13+Scores!F16*Settings!$B$14,1))</f>
        <v>38.4</v>
      </c>
      <c r="E16" s="33" t="n">
        <f aca="false">IF(OR($A16="",Scores!G16="",Scores!H16=""),"",ROUND(Scores!G16*Settings!$B$13+Scores!H16*Settings!$B$14,1))</f>
        <v>30.2</v>
      </c>
      <c r="F16" s="33" t="n">
        <f aca="false">IF(OR($A16="",Scores!I16="",Scores!J16=""),"",ROUND(Scores!I16*Settings!$B$13+Scores!J16*Settings!$B$14,1))</f>
        <v>33.2</v>
      </c>
      <c r="G16" s="33" t="n">
        <f aca="false">IF(OR($A16="",Scores!K16="",Scores!L16=""),"",ROUND(Scores!K16*Settings!$B$13+Scores!L16*Settings!$B$14,1))</f>
        <v>32.2</v>
      </c>
      <c r="H16" s="33" t="n">
        <f aca="false">IF(OR($A16="",Scores!M16="",Scores!N16=""),"",ROUND(Scores!M16*Settings!$B$13+Scores!N16*Settings!$B$14,1))</f>
        <v>31</v>
      </c>
      <c r="I16" s="33" t="n">
        <f aca="false">IF(COUNT(C16:H16)=0,"",SUM(C16:H16))</f>
        <v>202.4</v>
      </c>
      <c r="J16" s="34" t="n">
        <f aca="false">IF(COUNT(C16:H16)=0,"",ROUND(AVERAGE(C16:H16),1))</f>
        <v>33.7</v>
      </c>
      <c r="K16" s="35" t="str">
        <f aca="false">IF(J16="","",INDEX(Settings!$B$28:$B$33,MATCH(J16,Settings!$A$28:$A$33,1)))</f>
        <v>F</v>
      </c>
      <c r="L16" s="28" t="n">
        <f aca="false">IF(J16="","",RANK(J16,$J$6:$J$45,0))</f>
        <v>12</v>
      </c>
      <c r="M16" s="17" t="str">
        <f aca="false">IF(L16="","",L16&amp;IF(AND(MOD(L16,100)&gt;=11,MOD(L16,100)&lt;=13),"th",CHOOSE(MOD(L16,10)+1,"th","st","nd","rd","th","th","th","th","th","th")))</f>
        <v>12th</v>
      </c>
      <c r="N16" s="29" t="n">
        <f aca="false">IF(J16="","",COUNTIF(C16:H16,"&gt;="&amp;Settings!$B$11))</f>
        <v>0</v>
      </c>
      <c r="O16" s="30" t="n">
        <f aca="false">IF(Attendance!F16="","",Attendance!F16)</f>
        <v>0.7</v>
      </c>
      <c r="P16" s="8" t="str">
        <f aca="false">IF(J16="","",IF(AND(J16&gt;=Settings!$B$11,OR(O16="",O16&gt;=Settings!$B$12)),"Promoted",IF(J16&lt;Settings!$B$11,IF(AND(O16&lt;&gt;"",O16&lt;Settings!$B$12),"At Risk - Academic &amp; Attendance","At Risk - Academic"),"At Risk - Attendance")))</f>
        <v>At Risk - Academic &amp; Attendance</v>
      </c>
      <c r="Q16" s="36" t="n">
        <f aca="false">IF(J16="","",L16+COUNTIF($J$5:J15,J16))</f>
        <v>12</v>
      </c>
    </row>
    <row r="17" customFormat="false" ht="15" hidden="false" customHeight="false" outlineLevel="0" collapsed="false">
      <c r="A17" s="25" t="str">
        <f aca="false">IF(Students!A17="","",Students!A17)</f>
        <v>S012</v>
      </c>
      <c r="B17" s="26" t="str">
        <f aca="false">IF(Students!A17="","",Students!B17)</f>
        <v>Samuel Lee</v>
      </c>
      <c r="C17" s="33" t="n">
        <f aca="false">IF(OR($A17="",Scores!C17="",Scores!D17=""),"",ROUND(Scores!C17*Settings!$B$13+Scores!D17*Settings!$B$14,1))</f>
        <v>64.8</v>
      </c>
      <c r="D17" s="33" t="n">
        <f aca="false">IF(OR($A17="",Scores!E17="",Scores!F17=""),"",ROUND(Scores!E17*Settings!$B$13+Scores!F17*Settings!$B$14,1))</f>
        <v>70.6</v>
      </c>
      <c r="E17" s="33" t="n">
        <f aca="false">IF(OR($A17="",Scores!G17="",Scores!H17=""),"",ROUND(Scores!G17*Settings!$B$13+Scores!H17*Settings!$B$14,1))</f>
        <v>65.4</v>
      </c>
      <c r="F17" s="33" t="n">
        <f aca="false">IF(OR($A17="",Scores!I17="",Scores!J17=""),"",ROUND(Scores!I17*Settings!$B$13+Scores!J17*Settings!$B$14,1))</f>
        <v>66</v>
      </c>
      <c r="G17" s="33" t="n">
        <f aca="false">IF(OR($A17="",Scores!K17="",Scores!L17=""),"",ROUND(Scores!K17*Settings!$B$13+Scores!L17*Settings!$B$14,1))</f>
        <v>63.8</v>
      </c>
      <c r="H17" s="33" t="n">
        <f aca="false">IF(OR($A17="",Scores!M17="",Scores!N17=""),"",ROUND(Scores!M17*Settings!$B$13+Scores!N17*Settings!$B$14,1))</f>
        <v>78.4</v>
      </c>
      <c r="I17" s="33" t="n">
        <f aca="false">IF(COUNT(C17:H17)=0,"",SUM(C17:H17))</f>
        <v>409</v>
      </c>
      <c r="J17" s="34" t="n">
        <f aca="false">IF(COUNT(C17:H17)=0,"",ROUND(AVERAGE(C17:H17),1))</f>
        <v>68.2</v>
      </c>
      <c r="K17" s="35" t="str">
        <f aca="false">IF(J17="","",INDEX(Settings!$B$28:$B$33,MATCH(J17,Settings!$A$28:$A$33,1)))</f>
        <v>C</v>
      </c>
      <c r="L17" s="28" t="n">
        <f aca="false">IF(J17="","",RANK(J17,$J$6:$J$45,0))</f>
        <v>5</v>
      </c>
      <c r="M17" s="17" t="str">
        <f aca="false">IF(L17="","",L17&amp;IF(AND(MOD(L17,100)&gt;=11,MOD(L17,100)&lt;=13),"th",CHOOSE(MOD(L17,10)+1,"th","st","nd","rd","th","th","th","th","th","th")))</f>
        <v>5th</v>
      </c>
      <c r="N17" s="29" t="n">
        <f aca="false">IF(J17="","",COUNTIF(C17:H17,"&gt;="&amp;Settings!$B$11))</f>
        <v>6</v>
      </c>
      <c r="O17" s="30" t="n">
        <f aca="false">IF(Attendance!F17="","",Attendance!F17)</f>
        <v>0.95</v>
      </c>
      <c r="P17" s="8" t="str">
        <f aca="false">IF(J17="","",IF(AND(J17&gt;=Settings!$B$11,OR(O17="",O17&gt;=Settings!$B$12)),"Promoted",IF(J17&lt;Settings!$B$11,IF(AND(O17&lt;&gt;"",O17&lt;Settings!$B$12),"At Risk - Academic &amp; Attendance","At Risk - Academic"),"At Risk - Attendance")))</f>
        <v>Promoted</v>
      </c>
      <c r="Q17" s="36" t="n">
        <f aca="false">IF(J17="","",L17+COUNTIF($J$5:J16,J17))</f>
        <v>5</v>
      </c>
    </row>
    <row r="18" customFormat="false" ht="15" hidden="false" customHeight="false" outlineLevel="0" collapsed="false">
      <c r="A18" s="25" t="str">
        <f aca="false">IF(Students!A18="","",Students!A18)</f>
        <v/>
      </c>
      <c r="B18" s="26" t="str">
        <f aca="false">IF(Students!A18="","",Students!B18)</f>
        <v/>
      </c>
      <c r="C18" s="33" t="str">
        <f aca="false">IF(OR($A18="",Scores!C18="",Scores!D18=""),"",ROUND(Scores!C18*Settings!$B$13+Scores!D18*Settings!$B$14,1))</f>
        <v/>
      </c>
      <c r="D18" s="33" t="str">
        <f aca="false">IF(OR($A18="",Scores!E18="",Scores!F18=""),"",ROUND(Scores!E18*Settings!$B$13+Scores!F18*Settings!$B$14,1))</f>
        <v/>
      </c>
      <c r="E18" s="33" t="str">
        <f aca="false">IF(OR($A18="",Scores!G18="",Scores!H18=""),"",ROUND(Scores!G18*Settings!$B$13+Scores!H18*Settings!$B$14,1))</f>
        <v/>
      </c>
      <c r="F18" s="33" t="str">
        <f aca="false">IF(OR($A18="",Scores!I18="",Scores!J18=""),"",ROUND(Scores!I18*Settings!$B$13+Scores!J18*Settings!$B$14,1))</f>
        <v/>
      </c>
      <c r="G18" s="33" t="str">
        <f aca="false">IF(OR($A18="",Scores!K18="",Scores!L18=""),"",ROUND(Scores!K18*Settings!$B$13+Scores!L18*Settings!$B$14,1))</f>
        <v/>
      </c>
      <c r="H18" s="33" t="str">
        <f aca="false">IF(OR($A18="",Scores!M18="",Scores!N18=""),"",ROUND(Scores!M18*Settings!$B$13+Scores!N18*Settings!$B$14,1))</f>
        <v/>
      </c>
      <c r="I18" s="33" t="str">
        <f aca="false">IF(COUNT(C18:H18)=0,"",SUM(C18:H18))</f>
        <v/>
      </c>
      <c r="J18" s="34" t="str">
        <f aca="false">IF(COUNT(C18:H18)=0,"",ROUND(AVERAGE(C18:H18),1))</f>
        <v/>
      </c>
      <c r="K18" s="35" t="str">
        <f aca="false">IF(J18="","",INDEX(Settings!$B$28:$B$33,MATCH(J18,Settings!$A$28:$A$33,1)))</f>
        <v/>
      </c>
      <c r="L18" s="28" t="str">
        <f aca="false">IF(J18="","",RANK(J18,$J$6:$J$45,0))</f>
        <v/>
      </c>
      <c r="M18" s="17" t="str">
        <f aca="false">IF(L18="","",L18&amp;IF(AND(MOD(L18,100)&gt;=11,MOD(L18,100)&lt;=13),"th",CHOOSE(MOD(L18,10)+1,"th","st","nd","rd","th","th","th","th","th","th")))</f>
        <v/>
      </c>
      <c r="N18" s="29" t="str">
        <f aca="false">IF(J18="","",COUNTIF(C18:H18,"&gt;="&amp;Settings!$B$11))</f>
        <v/>
      </c>
      <c r="O18" s="30" t="str">
        <f aca="false">IF(Attendance!F18="","",Attendance!F18)</f>
        <v/>
      </c>
      <c r="P18" s="8" t="str">
        <f aca="false">IF(J18="","",IF(AND(J18&gt;=Settings!$B$11,OR(O18="",O18&gt;=Settings!$B$12)),"Promoted",IF(J18&lt;Settings!$B$11,IF(AND(O18&lt;&gt;"",O18&lt;Settings!$B$12),"At Risk - Academic &amp; Attendance","At Risk - Academic"),"At Risk - Attendance")))</f>
        <v/>
      </c>
      <c r="Q18" s="36" t="str">
        <f aca="false">IF(J18="","",L18+COUNTIF($J$5:J17,J18))</f>
        <v/>
      </c>
    </row>
    <row r="19" customFormat="false" ht="15" hidden="false" customHeight="false" outlineLevel="0" collapsed="false">
      <c r="A19" s="25" t="str">
        <f aca="false">IF(Students!A19="","",Students!A19)</f>
        <v/>
      </c>
      <c r="B19" s="26" t="str">
        <f aca="false">IF(Students!A19="","",Students!B19)</f>
        <v/>
      </c>
      <c r="C19" s="33" t="str">
        <f aca="false">IF(OR($A19="",Scores!C19="",Scores!D19=""),"",ROUND(Scores!C19*Settings!$B$13+Scores!D19*Settings!$B$14,1))</f>
        <v/>
      </c>
      <c r="D19" s="33" t="str">
        <f aca="false">IF(OR($A19="",Scores!E19="",Scores!F19=""),"",ROUND(Scores!E19*Settings!$B$13+Scores!F19*Settings!$B$14,1))</f>
        <v/>
      </c>
      <c r="E19" s="33" t="str">
        <f aca="false">IF(OR($A19="",Scores!G19="",Scores!H19=""),"",ROUND(Scores!G19*Settings!$B$13+Scores!H19*Settings!$B$14,1))</f>
        <v/>
      </c>
      <c r="F19" s="33" t="str">
        <f aca="false">IF(OR($A19="",Scores!I19="",Scores!J19=""),"",ROUND(Scores!I19*Settings!$B$13+Scores!J19*Settings!$B$14,1))</f>
        <v/>
      </c>
      <c r="G19" s="33" t="str">
        <f aca="false">IF(OR($A19="",Scores!K19="",Scores!L19=""),"",ROUND(Scores!K19*Settings!$B$13+Scores!L19*Settings!$B$14,1))</f>
        <v/>
      </c>
      <c r="H19" s="33" t="str">
        <f aca="false">IF(OR($A19="",Scores!M19="",Scores!N19=""),"",ROUND(Scores!M19*Settings!$B$13+Scores!N19*Settings!$B$14,1))</f>
        <v/>
      </c>
      <c r="I19" s="33" t="str">
        <f aca="false">IF(COUNT(C19:H19)=0,"",SUM(C19:H19))</f>
        <v/>
      </c>
      <c r="J19" s="34" t="str">
        <f aca="false">IF(COUNT(C19:H19)=0,"",ROUND(AVERAGE(C19:H19),1))</f>
        <v/>
      </c>
      <c r="K19" s="35" t="str">
        <f aca="false">IF(J19="","",INDEX(Settings!$B$28:$B$33,MATCH(J19,Settings!$A$28:$A$33,1)))</f>
        <v/>
      </c>
      <c r="L19" s="28" t="str">
        <f aca="false">IF(J19="","",RANK(J19,$J$6:$J$45,0))</f>
        <v/>
      </c>
      <c r="M19" s="17" t="str">
        <f aca="false">IF(L19="","",L19&amp;IF(AND(MOD(L19,100)&gt;=11,MOD(L19,100)&lt;=13),"th",CHOOSE(MOD(L19,10)+1,"th","st","nd","rd","th","th","th","th","th","th")))</f>
        <v/>
      </c>
      <c r="N19" s="29" t="str">
        <f aca="false">IF(J19="","",COUNTIF(C19:H19,"&gt;="&amp;Settings!$B$11))</f>
        <v/>
      </c>
      <c r="O19" s="30" t="str">
        <f aca="false">IF(Attendance!F19="","",Attendance!F19)</f>
        <v/>
      </c>
      <c r="P19" s="8" t="str">
        <f aca="false">IF(J19="","",IF(AND(J19&gt;=Settings!$B$11,OR(O19="",O19&gt;=Settings!$B$12)),"Promoted",IF(J19&lt;Settings!$B$11,IF(AND(O19&lt;&gt;"",O19&lt;Settings!$B$12),"At Risk - Academic &amp; Attendance","At Risk - Academic"),"At Risk - Attendance")))</f>
        <v/>
      </c>
      <c r="Q19" s="36" t="str">
        <f aca="false">IF(J19="","",L19+COUNTIF($J$5:J18,J19))</f>
        <v/>
      </c>
    </row>
    <row r="20" customFormat="false" ht="15" hidden="false" customHeight="false" outlineLevel="0" collapsed="false">
      <c r="A20" s="25" t="str">
        <f aca="false">IF(Students!A20="","",Students!A20)</f>
        <v/>
      </c>
      <c r="B20" s="26" t="str">
        <f aca="false">IF(Students!A20="","",Students!B20)</f>
        <v/>
      </c>
      <c r="C20" s="33" t="str">
        <f aca="false">IF(OR($A20="",Scores!C20="",Scores!D20=""),"",ROUND(Scores!C20*Settings!$B$13+Scores!D20*Settings!$B$14,1))</f>
        <v/>
      </c>
      <c r="D20" s="33" t="str">
        <f aca="false">IF(OR($A20="",Scores!E20="",Scores!F20=""),"",ROUND(Scores!E20*Settings!$B$13+Scores!F20*Settings!$B$14,1))</f>
        <v/>
      </c>
      <c r="E20" s="33" t="str">
        <f aca="false">IF(OR($A20="",Scores!G20="",Scores!H20=""),"",ROUND(Scores!G20*Settings!$B$13+Scores!H20*Settings!$B$14,1))</f>
        <v/>
      </c>
      <c r="F20" s="33" t="str">
        <f aca="false">IF(OR($A20="",Scores!I20="",Scores!J20=""),"",ROUND(Scores!I20*Settings!$B$13+Scores!J20*Settings!$B$14,1))</f>
        <v/>
      </c>
      <c r="G20" s="33" t="str">
        <f aca="false">IF(OR($A20="",Scores!K20="",Scores!L20=""),"",ROUND(Scores!K20*Settings!$B$13+Scores!L20*Settings!$B$14,1))</f>
        <v/>
      </c>
      <c r="H20" s="33" t="str">
        <f aca="false">IF(OR($A20="",Scores!M20="",Scores!N20=""),"",ROUND(Scores!M20*Settings!$B$13+Scores!N20*Settings!$B$14,1))</f>
        <v/>
      </c>
      <c r="I20" s="33" t="str">
        <f aca="false">IF(COUNT(C20:H20)=0,"",SUM(C20:H20))</f>
        <v/>
      </c>
      <c r="J20" s="34" t="str">
        <f aca="false">IF(COUNT(C20:H20)=0,"",ROUND(AVERAGE(C20:H20),1))</f>
        <v/>
      </c>
      <c r="K20" s="35" t="str">
        <f aca="false">IF(J20="","",INDEX(Settings!$B$28:$B$33,MATCH(J20,Settings!$A$28:$A$33,1)))</f>
        <v/>
      </c>
      <c r="L20" s="28" t="str">
        <f aca="false">IF(J20="","",RANK(J20,$J$6:$J$45,0))</f>
        <v/>
      </c>
      <c r="M20" s="17" t="str">
        <f aca="false">IF(L20="","",L20&amp;IF(AND(MOD(L20,100)&gt;=11,MOD(L20,100)&lt;=13),"th",CHOOSE(MOD(L20,10)+1,"th","st","nd","rd","th","th","th","th","th","th")))</f>
        <v/>
      </c>
      <c r="N20" s="29" t="str">
        <f aca="false">IF(J20="","",COUNTIF(C20:H20,"&gt;="&amp;Settings!$B$11))</f>
        <v/>
      </c>
      <c r="O20" s="30" t="str">
        <f aca="false">IF(Attendance!F20="","",Attendance!F20)</f>
        <v/>
      </c>
      <c r="P20" s="8" t="str">
        <f aca="false">IF(J20="","",IF(AND(J20&gt;=Settings!$B$11,OR(O20="",O20&gt;=Settings!$B$12)),"Promoted",IF(J20&lt;Settings!$B$11,IF(AND(O20&lt;&gt;"",O20&lt;Settings!$B$12),"At Risk - Academic &amp; Attendance","At Risk - Academic"),"At Risk - Attendance")))</f>
        <v/>
      </c>
      <c r="Q20" s="36" t="str">
        <f aca="false">IF(J20="","",L20+COUNTIF($J$5:J19,J20))</f>
        <v/>
      </c>
    </row>
    <row r="21" customFormat="false" ht="15" hidden="false" customHeight="false" outlineLevel="0" collapsed="false">
      <c r="A21" s="25" t="str">
        <f aca="false">IF(Students!A21="","",Students!A21)</f>
        <v/>
      </c>
      <c r="B21" s="26" t="str">
        <f aca="false">IF(Students!A21="","",Students!B21)</f>
        <v/>
      </c>
      <c r="C21" s="33" t="str">
        <f aca="false">IF(OR($A21="",Scores!C21="",Scores!D21=""),"",ROUND(Scores!C21*Settings!$B$13+Scores!D21*Settings!$B$14,1))</f>
        <v/>
      </c>
      <c r="D21" s="33" t="str">
        <f aca="false">IF(OR($A21="",Scores!E21="",Scores!F21=""),"",ROUND(Scores!E21*Settings!$B$13+Scores!F21*Settings!$B$14,1))</f>
        <v/>
      </c>
      <c r="E21" s="33" t="str">
        <f aca="false">IF(OR($A21="",Scores!G21="",Scores!H21=""),"",ROUND(Scores!G21*Settings!$B$13+Scores!H21*Settings!$B$14,1))</f>
        <v/>
      </c>
      <c r="F21" s="33" t="str">
        <f aca="false">IF(OR($A21="",Scores!I21="",Scores!J21=""),"",ROUND(Scores!I21*Settings!$B$13+Scores!J21*Settings!$B$14,1))</f>
        <v/>
      </c>
      <c r="G21" s="33" t="str">
        <f aca="false">IF(OR($A21="",Scores!K21="",Scores!L21=""),"",ROUND(Scores!K21*Settings!$B$13+Scores!L21*Settings!$B$14,1))</f>
        <v/>
      </c>
      <c r="H21" s="33" t="str">
        <f aca="false">IF(OR($A21="",Scores!M21="",Scores!N21=""),"",ROUND(Scores!M21*Settings!$B$13+Scores!N21*Settings!$B$14,1))</f>
        <v/>
      </c>
      <c r="I21" s="33" t="str">
        <f aca="false">IF(COUNT(C21:H21)=0,"",SUM(C21:H21))</f>
        <v/>
      </c>
      <c r="J21" s="34" t="str">
        <f aca="false">IF(COUNT(C21:H21)=0,"",ROUND(AVERAGE(C21:H21),1))</f>
        <v/>
      </c>
      <c r="K21" s="35" t="str">
        <f aca="false">IF(J21="","",INDEX(Settings!$B$28:$B$33,MATCH(J21,Settings!$A$28:$A$33,1)))</f>
        <v/>
      </c>
      <c r="L21" s="28" t="str">
        <f aca="false">IF(J21="","",RANK(J21,$J$6:$J$45,0))</f>
        <v/>
      </c>
      <c r="M21" s="17" t="str">
        <f aca="false">IF(L21="","",L21&amp;IF(AND(MOD(L21,100)&gt;=11,MOD(L21,100)&lt;=13),"th",CHOOSE(MOD(L21,10)+1,"th","st","nd","rd","th","th","th","th","th","th")))</f>
        <v/>
      </c>
      <c r="N21" s="29" t="str">
        <f aca="false">IF(J21="","",COUNTIF(C21:H21,"&gt;="&amp;Settings!$B$11))</f>
        <v/>
      </c>
      <c r="O21" s="30" t="str">
        <f aca="false">IF(Attendance!F21="","",Attendance!F21)</f>
        <v/>
      </c>
      <c r="P21" s="8" t="str">
        <f aca="false">IF(J21="","",IF(AND(J21&gt;=Settings!$B$11,OR(O21="",O21&gt;=Settings!$B$12)),"Promoted",IF(J21&lt;Settings!$B$11,IF(AND(O21&lt;&gt;"",O21&lt;Settings!$B$12),"At Risk - Academic &amp; Attendance","At Risk - Academic"),"At Risk - Attendance")))</f>
        <v/>
      </c>
      <c r="Q21" s="36" t="str">
        <f aca="false">IF(J21="","",L21+COUNTIF($J$5:J20,J21))</f>
        <v/>
      </c>
    </row>
    <row r="22" customFormat="false" ht="15" hidden="false" customHeight="false" outlineLevel="0" collapsed="false">
      <c r="A22" s="25" t="str">
        <f aca="false">IF(Students!A22="","",Students!A22)</f>
        <v/>
      </c>
      <c r="B22" s="26" t="str">
        <f aca="false">IF(Students!A22="","",Students!B22)</f>
        <v/>
      </c>
      <c r="C22" s="33" t="str">
        <f aca="false">IF(OR($A22="",Scores!C22="",Scores!D22=""),"",ROUND(Scores!C22*Settings!$B$13+Scores!D22*Settings!$B$14,1))</f>
        <v/>
      </c>
      <c r="D22" s="33" t="str">
        <f aca="false">IF(OR($A22="",Scores!E22="",Scores!F22=""),"",ROUND(Scores!E22*Settings!$B$13+Scores!F22*Settings!$B$14,1))</f>
        <v/>
      </c>
      <c r="E22" s="33" t="str">
        <f aca="false">IF(OR($A22="",Scores!G22="",Scores!H22=""),"",ROUND(Scores!G22*Settings!$B$13+Scores!H22*Settings!$B$14,1))</f>
        <v/>
      </c>
      <c r="F22" s="33" t="str">
        <f aca="false">IF(OR($A22="",Scores!I22="",Scores!J22=""),"",ROUND(Scores!I22*Settings!$B$13+Scores!J22*Settings!$B$14,1))</f>
        <v/>
      </c>
      <c r="G22" s="33" t="str">
        <f aca="false">IF(OR($A22="",Scores!K22="",Scores!L22=""),"",ROUND(Scores!K22*Settings!$B$13+Scores!L22*Settings!$B$14,1))</f>
        <v/>
      </c>
      <c r="H22" s="33" t="str">
        <f aca="false">IF(OR($A22="",Scores!M22="",Scores!N22=""),"",ROUND(Scores!M22*Settings!$B$13+Scores!N22*Settings!$B$14,1))</f>
        <v/>
      </c>
      <c r="I22" s="33" t="str">
        <f aca="false">IF(COUNT(C22:H22)=0,"",SUM(C22:H22))</f>
        <v/>
      </c>
      <c r="J22" s="34" t="str">
        <f aca="false">IF(COUNT(C22:H22)=0,"",ROUND(AVERAGE(C22:H22),1))</f>
        <v/>
      </c>
      <c r="K22" s="35" t="str">
        <f aca="false">IF(J22="","",INDEX(Settings!$B$28:$B$33,MATCH(J22,Settings!$A$28:$A$33,1)))</f>
        <v/>
      </c>
      <c r="L22" s="28" t="str">
        <f aca="false">IF(J22="","",RANK(J22,$J$6:$J$45,0))</f>
        <v/>
      </c>
      <c r="M22" s="17" t="str">
        <f aca="false">IF(L22="","",L22&amp;IF(AND(MOD(L22,100)&gt;=11,MOD(L22,100)&lt;=13),"th",CHOOSE(MOD(L22,10)+1,"th","st","nd","rd","th","th","th","th","th","th")))</f>
        <v/>
      </c>
      <c r="N22" s="29" t="str">
        <f aca="false">IF(J22="","",COUNTIF(C22:H22,"&gt;="&amp;Settings!$B$11))</f>
        <v/>
      </c>
      <c r="O22" s="30" t="str">
        <f aca="false">IF(Attendance!F22="","",Attendance!F22)</f>
        <v/>
      </c>
      <c r="P22" s="8" t="str">
        <f aca="false">IF(J22="","",IF(AND(J22&gt;=Settings!$B$11,OR(O22="",O22&gt;=Settings!$B$12)),"Promoted",IF(J22&lt;Settings!$B$11,IF(AND(O22&lt;&gt;"",O22&lt;Settings!$B$12),"At Risk - Academic &amp; Attendance","At Risk - Academic"),"At Risk - Attendance")))</f>
        <v/>
      </c>
      <c r="Q22" s="36" t="str">
        <f aca="false">IF(J22="","",L22+COUNTIF($J$5:J21,J22))</f>
        <v/>
      </c>
    </row>
    <row r="23" customFormat="false" ht="15" hidden="false" customHeight="false" outlineLevel="0" collapsed="false">
      <c r="A23" s="25" t="str">
        <f aca="false">IF(Students!A23="","",Students!A23)</f>
        <v/>
      </c>
      <c r="B23" s="26" t="str">
        <f aca="false">IF(Students!A23="","",Students!B23)</f>
        <v/>
      </c>
      <c r="C23" s="33" t="str">
        <f aca="false">IF(OR($A23="",Scores!C23="",Scores!D23=""),"",ROUND(Scores!C23*Settings!$B$13+Scores!D23*Settings!$B$14,1))</f>
        <v/>
      </c>
      <c r="D23" s="33" t="str">
        <f aca="false">IF(OR($A23="",Scores!E23="",Scores!F23=""),"",ROUND(Scores!E23*Settings!$B$13+Scores!F23*Settings!$B$14,1))</f>
        <v/>
      </c>
      <c r="E23" s="33" t="str">
        <f aca="false">IF(OR($A23="",Scores!G23="",Scores!H23=""),"",ROUND(Scores!G23*Settings!$B$13+Scores!H23*Settings!$B$14,1))</f>
        <v/>
      </c>
      <c r="F23" s="33" t="str">
        <f aca="false">IF(OR($A23="",Scores!I23="",Scores!J23=""),"",ROUND(Scores!I23*Settings!$B$13+Scores!J23*Settings!$B$14,1))</f>
        <v/>
      </c>
      <c r="G23" s="33" t="str">
        <f aca="false">IF(OR($A23="",Scores!K23="",Scores!L23=""),"",ROUND(Scores!K23*Settings!$B$13+Scores!L23*Settings!$B$14,1))</f>
        <v/>
      </c>
      <c r="H23" s="33" t="str">
        <f aca="false">IF(OR($A23="",Scores!M23="",Scores!N23=""),"",ROUND(Scores!M23*Settings!$B$13+Scores!N23*Settings!$B$14,1))</f>
        <v/>
      </c>
      <c r="I23" s="33" t="str">
        <f aca="false">IF(COUNT(C23:H23)=0,"",SUM(C23:H23))</f>
        <v/>
      </c>
      <c r="J23" s="34" t="str">
        <f aca="false">IF(COUNT(C23:H23)=0,"",ROUND(AVERAGE(C23:H23),1))</f>
        <v/>
      </c>
      <c r="K23" s="35" t="str">
        <f aca="false">IF(J23="","",INDEX(Settings!$B$28:$B$33,MATCH(J23,Settings!$A$28:$A$33,1)))</f>
        <v/>
      </c>
      <c r="L23" s="28" t="str">
        <f aca="false">IF(J23="","",RANK(J23,$J$6:$J$45,0))</f>
        <v/>
      </c>
      <c r="M23" s="17" t="str">
        <f aca="false">IF(L23="","",L23&amp;IF(AND(MOD(L23,100)&gt;=11,MOD(L23,100)&lt;=13),"th",CHOOSE(MOD(L23,10)+1,"th","st","nd","rd","th","th","th","th","th","th")))</f>
        <v/>
      </c>
      <c r="N23" s="29" t="str">
        <f aca="false">IF(J23="","",COUNTIF(C23:H23,"&gt;="&amp;Settings!$B$11))</f>
        <v/>
      </c>
      <c r="O23" s="30" t="str">
        <f aca="false">IF(Attendance!F23="","",Attendance!F23)</f>
        <v/>
      </c>
      <c r="P23" s="8" t="str">
        <f aca="false">IF(J23="","",IF(AND(J23&gt;=Settings!$B$11,OR(O23="",O23&gt;=Settings!$B$12)),"Promoted",IF(J23&lt;Settings!$B$11,IF(AND(O23&lt;&gt;"",O23&lt;Settings!$B$12),"At Risk - Academic &amp; Attendance","At Risk - Academic"),"At Risk - Attendance")))</f>
        <v/>
      </c>
      <c r="Q23" s="36" t="str">
        <f aca="false">IF(J23="","",L23+COUNTIF($J$5:J22,J23))</f>
        <v/>
      </c>
    </row>
    <row r="24" customFormat="false" ht="15" hidden="false" customHeight="false" outlineLevel="0" collapsed="false">
      <c r="A24" s="25" t="str">
        <f aca="false">IF(Students!A24="","",Students!A24)</f>
        <v/>
      </c>
      <c r="B24" s="26" t="str">
        <f aca="false">IF(Students!A24="","",Students!B24)</f>
        <v/>
      </c>
      <c r="C24" s="33" t="str">
        <f aca="false">IF(OR($A24="",Scores!C24="",Scores!D24=""),"",ROUND(Scores!C24*Settings!$B$13+Scores!D24*Settings!$B$14,1))</f>
        <v/>
      </c>
      <c r="D24" s="33" t="str">
        <f aca="false">IF(OR($A24="",Scores!E24="",Scores!F24=""),"",ROUND(Scores!E24*Settings!$B$13+Scores!F24*Settings!$B$14,1))</f>
        <v/>
      </c>
      <c r="E24" s="33" t="str">
        <f aca="false">IF(OR($A24="",Scores!G24="",Scores!H24=""),"",ROUND(Scores!G24*Settings!$B$13+Scores!H24*Settings!$B$14,1))</f>
        <v/>
      </c>
      <c r="F24" s="33" t="str">
        <f aca="false">IF(OR($A24="",Scores!I24="",Scores!J24=""),"",ROUND(Scores!I24*Settings!$B$13+Scores!J24*Settings!$B$14,1))</f>
        <v/>
      </c>
      <c r="G24" s="33" t="str">
        <f aca="false">IF(OR($A24="",Scores!K24="",Scores!L24=""),"",ROUND(Scores!K24*Settings!$B$13+Scores!L24*Settings!$B$14,1))</f>
        <v/>
      </c>
      <c r="H24" s="33" t="str">
        <f aca="false">IF(OR($A24="",Scores!M24="",Scores!N24=""),"",ROUND(Scores!M24*Settings!$B$13+Scores!N24*Settings!$B$14,1))</f>
        <v/>
      </c>
      <c r="I24" s="33" t="str">
        <f aca="false">IF(COUNT(C24:H24)=0,"",SUM(C24:H24))</f>
        <v/>
      </c>
      <c r="J24" s="34" t="str">
        <f aca="false">IF(COUNT(C24:H24)=0,"",ROUND(AVERAGE(C24:H24),1))</f>
        <v/>
      </c>
      <c r="K24" s="35" t="str">
        <f aca="false">IF(J24="","",INDEX(Settings!$B$28:$B$33,MATCH(J24,Settings!$A$28:$A$33,1)))</f>
        <v/>
      </c>
      <c r="L24" s="28" t="str">
        <f aca="false">IF(J24="","",RANK(J24,$J$6:$J$45,0))</f>
        <v/>
      </c>
      <c r="M24" s="17" t="str">
        <f aca="false">IF(L24="","",L24&amp;IF(AND(MOD(L24,100)&gt;=11,MOD(L24,100)&lt;=13),"th",CHOOSE(MOD(L24,10)+1,"th","st","nd","rd","th","th","th","th","th","th")))</f>
        <v/>
      </c>
      <c r="N24" s="29" t="str">
        <f aca="false">IF(J24="","",COUNTIF(C24:H24,"&gt;="&amp;Settings!$B$11))</f>
        <v/>
      </c>
      <c r="O24" s="30" t="str">
        <f aca="false">IF(Attendance!F24="","",Attendance!F24)</f>
        <v/>
      </c>
      <c r="P24" s="8" t="str">
        <f aca="false">IF(J24="","",IF(AND(J24&gt;=Settings!$B$11,OR(O24="",O24&gt;=Settings!$B$12)),"Promoted",IF(J24&lt;Settings!$B$11,IF(AND(O24&lt;&gt;"",O24&lt;Settings!$B$12),"At Risk - Academic &amp; Attendance","At Risk - Academic"),"At Risk - Attendance")))</f>
        <v/>
      </c>
      <c r="Q24" s="36" t="str">
        <f aca="false">IF(J24="","",L24+COUNTIF($J$5:J23,J24))</f>
        <v/>
      </c>
    </row>
    <row r="25" customFormat="false" ht="15" hidden="false" customHeight="false" outlineLevel="0" collapsed="false">
      <c r="A25" s="25" t="str">
        <f aca="false">IF(Students!A25="","",Students!A25)</f>
        <v/>
      </c>
      <c r="B25" s="26" t="str">
        <f aca="false">IF(Students!A25="","",Students!B25)</f>
        <v/>
      </c>
      <c r="C25" s="33" t="str">
        <f aca="false">IF(OR($A25="",Scores!C25="",Scores!D25=""),"",ROUND(Scores!C25*Settings!$B$13+Scores!D25*Settings!$B$14,1))</f>
        <v/>
      </c>
      <c r="D25" s="33" t="str">
        <f aca="false">IF(OR($A25="",Scores!E25="",Scores!F25=""),"",ROUND(Scores!E25*Settings!$B$13+Scores!F25*Settings!$B$14,1))</f>
        <v/>
      </c>
      <c r="E25" s="33" t="str">
        <f aca="false">IF(OR($A25="",Scores!G25="",Scores!H25=""),"",ROUND(Scores!G25*Settings!$B$13+Scores!H25*Settings!$B$14,1))</f>
        <v/>
      </c>
      <c r="F25" s="33" t="str">
        <f aca="false">IF(OR($A25="",Scores!I25="",Scores!J25=""),"",ROUND(Scores!I25*Settings!$B$13+Scores!J25*Settings!$B$14,1))</f>
        <v/>
      </c>
      <c r="G25" s="33" t="str">
        <f aca="false">IF(OR($A25="",Scores!K25="",Scores!L25=""),"",ROUND(Scores!K25*Settings!$B$13+Scores!L25*Settings!$B$14,1))</f>
        <v/>
      </c>
      <c r="H25" s="33" t="str">
        <f aca="false">IF(OR($A25="",Scores!M25="",Scores!N25=""),"",ROUND(Scores!M25*Settings!$B$13+Scores!N25*Settings!$B$14,1))</f>
        <v/>
      </c>
      <c r="I25" s="33" t="str">
        <f aca="false">IF(COUNT(C25:H25)=0,"",SUM(C25:H25))</f>
        <v/>
      </c>
      <c r="J25" s="34" t="str">
        <f aca="false">IF(COUNT(C25:H25)=0,"",ROUND(AVERAGE(C25:H25),1))</f>
        <v/>
      </c>
      <c r="K25" s="35" t="str">
        <f aca="false">IF(J25="","",INDEX(Settings!$B$28:$B$33,MATCH(J25,Settings!$A$28:$A$33,1)))</f>
        <v/>
      </c>
      <c r="L25" s="28" t="str">
        <f aca="false">IF(J25="","",RANK(J25,$J$6:$J$45,0))</f>
        <v/>
      </c>
      <c r="M25" s="17" t="str">
        <f aca="false">IF(L25="","",L25&amp;IF(AND(MOD(L25,100)&gt;=11,MOD(L25,100)&lt;=13),"th",CHOOSE(MOD(L25,10)+1,"th","st","nd","rd","th","th","th","th","th","th")))</f>
        <v/>
      </c>
      <c r="N25" s="29" t="str">
        <f aca="false">IF(J25="","",COUNTIF(C25:H25,"&gt;="&amp;Settings!$B$11))</f>
        <v/>
      </c>
      <c r="O25" s="30" t="str">
        <f aca="false">IF(Attendance!F25="","",Attendance!F25)</f>
        <v/>
      </c>
      <c r="P25" s="8" t="str">
        <f aca="false">IF(J25="","",IF(AND(J25&gt;=Settings!$B$11,OR(O25="",O25&gt;=Settings!$B$12)),"Promoted",IF(J25&lt;Settings!$B$11,IF(AND(O25&lt;&gt;"",O25&lt;Settings!$B$12),"At Risk - Academic &amp; Attendance","At Risk - Academic"),"At Risk - Attendance")))</f>
        <v/>
      </c>
      <c r="Q25" s="36" t="str">
        <f aca="false">IF(J25="","",L25+COUNTIF($J$5:J24,J25))</f>
        <v/>
      </c>
    </row>
    <row r="26" customFormat="false" ht="15" hidden="false" customHeight="false" outlineLevel="0" collapsed="false">
      <c r="A26" s="25" t="str">
        <f aca="false">IF(Students!A26="","",Students!A26)</f>
        <v/>
      </c>
      <c r="B26" s="26" t="str">
        <f aca="false">IF(Students!A26="","",Students!B26)</f>
        <v/>
      </c>
      <c r="C26" s="33" t="str">
        <f aca="false">IF(OR($A26="",Scores!C26="",Scores!D26=""),"",ROUND(Scores!C26*Settings!$B$13+Scores!D26*Settings!$B$14,1))</f>
        <v/>
      </c>
      <c r="D26" s="33" t="str">
        <f aca="false">IF(OR($A26="",Scores!E26="",Scores!F26=""),"",ROUND(Scores!E26*Settings!$B$13+Scores!F26*Settings!$B$14,1))</f>
        <v/>
      </c>
      <c r="E26" s="33" t="str">
        <f aca="false">IF(OR($A26="",Scores!G26="",Scores!H26=""),"",ROUND(Scores!G26*Settings!$B$13+Scores!H26*Settings!$B$14,1))</f>
        <v/>
      </c>
      <c r="F26" s="33" t="str">
        <f aca="false">IF(OR($A26="",Scores!I26="",Scores!J26=""),"",ROUND(Scores!I26*Settings!$B$13+Scores!J26*Settings!$B$14,1))</f>
        <v/>
      </c>
      <c r="G26" s="33" t="str">
        <f aca="false">IF(OR($A26="",Scores!K26="",Scores!L26=""),"",ROUND(Scores!K26*Settings!$B$13+Scores!L26*Settings!$B$14,1))</f>
        <v/>
      </c>
      <c r="H26" s="33" t="str">
        <f aca="false">IF(OR($A26="",Scores!M26="",Scores!N26=""),"",ROUND(Scores!M26*Settings!$B$13+Scores!N26*Settings!$B$14,1))</f>
        <v/>
      </c>
      <c r="I26" s="33" t="str">
        <f aca="false">IF(COUNT(C26:H26)=0,"",SUM(C26:H26))</f>
        <v/>
      </c>
      <c r="J26" s="34" t="str">
        <f aca="false">IF(COUNT(C26:H26)=0,"",ROUND(AVERAGE(C26:H26),1))</f>
        <v/>
      </c>
      <c r="K26" s="35" t="str">
        <f aca="false">IF(J26="","",INDEX(Settings!$B$28:$B$33,MATCH(J26,Settings!$A$28:$A$33,1)))</f>
        <v/>
      </c>
      <c r="L26" s="28" t="str">
        <f aca="false">IF(J26="","",RANK(J26,$J$6:$J$45,0))</f>
        <v/>
      </c>
      <c r="M26" s="17" t="str">
        <f aca="false">IF(L26="","",L26&amp;IF(AND(MOD(L26,100)&gt;=11,MOD(L26,100)&lt;=13),"th",CHOOSE(MOD(L26,10)+1,"th","st","nd","rd","th","th","th","th","th","th")))</f>
        <v/>
      </c>
      <c r="N26" s="29" t="str">
        <f aca="false">IF(J26="","",COUNTIF(C26:H26,"&gt;="&amp;Settings!$B$11))</f>
        <v/>
      </c>
      <c r="O26" s="30" t="str">
        <f aca="false">IF(Attendance!F26="","",Attendance!F26)</f>
        <v/>
      </c>
      <c r="P26" s="8" t="str">
        <f aca="false">IF(J26="","",IF(AND(J26&gt;=Settings!$B$11,OR(O26="",O26&gt;=Settings!$B$12)),"Promoted",IF(J26&lt;Settings!$B$11,IF(AND(O26&lt;&gt;"",O26&lt;Settings!$B$12),"At Risk - Academic &amp; Attendance","At Risk - Academic"),"At Risk - Attendance")))</f>
        <v/>
      </c>
      <c r="Q26" s="36" t="str">
        <f aca="false">IF(J26="","",L26+COUNTIF($J$5:J25,J26))</f>
        <v/>
      </c>
    </row>
    <row r="27" customFormat="false" ht="15" hidden="false" customHeight="false" outlineLevel="0" collapsed="false">
      <c r="A27" s="25" t="str">
        <f aca="false">IF(Students!A27="","",Students!A27)</f>
        <v/>
      </c>
      <c r="B27" s="26" t="str">
        <f aca="false">IF(Students!A27="","",Students!B27)</f>
        <v/>
      </c>
      <c r="C27" s="33" t="str">
        <f aca="false">IF(OR($A27="",Scores!C27="",Scores!D27=""),"",ROUND(Scores!C27*Settings!$B$13+Scores!D27*Settings!$B$14,1))</f>
        <v/>
      </c>
      <c r="D27" s="33" t="str">
        <f aca="false">IF(OR($A27="",Scores!E27="",Scores!F27=""),"",ROUND(Scores!E27*Settings!$B$13+Scores!F27*Settings!$B$14,1))</f>
        <v/>
      </c>
      <c r="E27" s="33" t="str">
        <f aca="false">IF(OR($A27="",Scores!G27="",Scores!H27=""),"",ROUND(Scores!G27*Settings!$B$13+Scores!H27*Settings!$B$14,1))</f>
        <v/>
      </c>
      <c r="F27" s="33" t="str">
        <f aca="false">IF(OR($A27="",Scores!I27="",Scores!J27=""),"",ROUND(Scores!I27*Settings!$B$13+Scores!J27*Settings!$B$14,1))</f>
        <v/>
      </c>
      <c r="G27" s="33" t="str">
        <f aca="false">IF(OR($A27="",Scores!K27="",Scores!L27=""),"",ROUND(Scores!K27*Settings!$B$13+Scores!L27*Settings!$B$14,1))</f>
        <v/>
      </c>
      <c r="H27" s="33" t="str">
        <f aca="false">IF(OR($A27="",Scores!M27="",Scores!N27=""),"",ROUND(Scores!M27*Settings!$B$13+Scores!N27*Settings!$B$14,1))</f>
        <v/>
      </c>
      <c r="I27" s="33" t="str">
        <f aca="false">IF(COUNT(C27:H27)=0,"",SUM(C27:H27))</f>
        <v/>
      </c>
      <c r="J27" s="34" t="str">
        <f aca="false">IF(COUNT(C27:H27)=0,"",ROUND(AVERAGE(C27:H27),1))</f>
        <v/>
      </c>
      <c r="K27" s="35" t="str">
        <f aca="false">IF(J27="","",INDEX(Settings!$B$28:$B$33,MATCH(J27,Settings!$A$28:$A$33,1)))</f>
        <v/>
      </c>
      <c r="L27" s="28" t="str">
        <f aca="false">IF(J27="","",RANK(J27,$J$6:$J$45,0))</f>
        <v/>
      </c>
      <c r="M27" s="17" t="str">
        <f aca="false">IF(L27="","",L27&amp;IF(AND(MOD(L27,100)&gt;=11,MOD(L27,100)&lt;=13),"th",CHOOSE(MOD(L27,10)+1,"th","st","nd","rd","th","th","th","th","th","th")))</f>
        <v/>
      </c>
      <c r="N27" s="29" t="str">
        <f aca="false">IF(J27="","",COUNTIF(C27:H27,"&gt;="&amp;Settings!$B$11))</f>
        <v/>
      </c>
      <c r="O27" s="30" t="str">
        <f aca="false">IF(Attendance!F27="","",Attendance!F27)</f>
        <v/>
      </c>
      <c r="P27" s="8" t="str">
        <f aca="false">IF(J27="","",IF(AND(J27&gt;=Settings!$B$11,OR(O27="",O27&gt;=Settings!$B$12)),"Promoted",IF(J27&lt;Settings!$B$11,IF(AND(O27&lt;&gt;"",O27&lt;Settings!$B$12),"At Risk - Academic &amp; Attendance","At Risk - Academic"),"At Risk - Attendance")))</f>
        <v/>
      </c>
      <c r="Q27" s="36" t="str">
        <f aca="false">IF(J27="","",L27+COUNTIF($J$5:J26,J27))</f>
        <v/>
      </c>
    </row>
    <row r="28" customFormat="false" ht="15" hidden="false" customHeight="false" outlineLevel="0" collapsed="false">
      <c r="A28" s="25" t="str">
        <f aca="false">IF(Students!A28="","",Students!A28)</f>
        <v/>
      </c>
      <c r="B28" s="26" t="str">
        <f aca="false">IF(Students!A28="","",Students!B28)</f>
        <v/>
      </c>
      <c r="C28" s="33" t="str">
        <f aca="false">IF(OR($A28="",Scores!C28="",Scores!D28=""),"",ROUND(Scores!C28*Settings!$B$13+Scores!D28*Settings!$B$14,1))</f>
        <v/>
      </c>
      <c r="D28" s="33" t="str">
        <f aca="false">IF(OR($A28="",Scores!E28="",Scores!F28=""),"",ROUND(Scores!E28*Settings!$B$13+Scores!F28*Settings!$B$14,1))</f>
        <v/>
      </c>
      <c r="E28" s="33" t="str">
        <f aca="false">IF(OR($A28="",Scores!G28="",Scores!H28=""),"",ROUND(Scores!G28*Settings!$B$13+Scores!H28*Settings!$B$14,1))</f>
        <v/>
      </c>
      <c r="F28" s="33" t="str">
        <f aca="false">IF(OR($A28="",Scores!I28="",Scores!J28=""),"",ROUND(Scores!I28*Settings!$B$13+Scores!J28*Settings!$B$14,1))</f>
        <v/>
      </c>
      <c r="G28" s="33" t="str">
        <f aca="false">IF(OR($A28="",Scores!K28="",Scores!L28=""),"",ROUND(Scores!K28*Settings!$B$13+Scores!L28*Settings!$B$14,1))</f>
        <v/>
      </c>
      <c r="H28" s="33" t="str">
        <f aca="false">IF(OR($A28="",Scores!M28="",Scores!N28=""),"",ROUND(Scores!M28*Settings!$B$13+Scores!N28*Settings!$B$14,1))</f>
        <v/>
      </c>
      <c r="I28" s="33" t="str">
        <f aca="false">IF(COUNT(C28:H28)=0,"",SUM(C28:H28))</f>
        <v/>
      </c>
      <c r="J28" s="34" t="str">
        <f aca="false">IF(COUNT(C28:H28)=0,"",ROUND(AVERAGE(C28:H28),1))</f>
        <v/>
      </c>
      <c r="K28" s="35" t="str">
        <f aca="false">IF(J28="","",INDEX(Settings!$B$28:$B$33,MATCH(J28,Settings!$A$28:$A$33,1)))</f>
        <v/>
      </c>
      <c r="L28" s="28" t="str">
        <f aca="false">IF(J28="","",RANK(J28,$J$6:$J$45,0))</f>
        <v/>
      </c>
      <c r="M28" s="17" t="str">
        <f aca="false">IF(L28="","",L28&amp;IF(AND(MOD(L28,100)&gt;=11,MOD(L28,100)&lt;=13),"th",CHOOSE(MOD(L28,10)+1,"th","st","nd","rd","th","th","th","th","th","th")))</f>
        <v/>
      </c>
      <c r="N28" s="29" t="str">
        <f aca="false">IF(J28="","",COUNTIF(C28:H28,"&gt;="&amp;Settings!$B$11))</f>
        <v/>
      </c>
      <c r="O28" s="30" t="str">
        <f aca="false">IF(Attendance!F28="","",Attendance!F28)</f>
        <v/>
      </c>
      <c r="P28" s="8" t="str">
        <f aca="false">IF(J28="","",IF(AND(J28&gt;=Settings!$B$11,OR(O28="",O28&gt;=Settings!$B$12)),"Promoted",IF(J28&lt;Settings!$B$11,IF(AND(O28&lt;&gt;"",O28&lt;Settings!$B$12),"At Risk - Academic &amp; Attendance","At Risk - Academic"),"At Risk - Attendance")))</f>
        <v/>
      </c>
      <c r="Q28" s="36" t="str">
        <f aca="false">IF(J28="","",L28+COUNTIF($J$5:J27,J28))</f>
        <v/>
      </c>
    </row>
    <row r="29" customFormat="false" ht="15" hidden="false" customHeight="false" outlineLevel="0" collapsed="false">
      <c r="A29" s="25" t="str">
        <f aca="false">IF(Students!A29="","",Students!A29)</f>
        <v/>
      </c>
      <c r="B29" s="26" t="str">
        <f aca="false">IF(Students!A29="","",Students!B29)</f>
        <v/>
      </c>
      <c r="C29" s="33" t="str">
        <f aca="false">IF(OR($A29="",Scores!C29="",Scores!D29=""),"",ROUND(Scores!C29*Settings!$B$13+Scores!D29*Settings!$B$14,1))</f>
        <v/>
      </c>
      <c r="D29" s="33" t="str">
        <f aca="false">IF(OR($A29="",Scores!E29="",Scores!F29=""),"",ROUND(Scores!E29*Settings!$B$13+Scores!F29*Settings!$B$14,1))</f>
        <v/>
      </c>
      <c r="E29" s="33" t="str">
        <f aca="false">IF(OR($A29="",Scores!G29="",Scores!H29=""),"",ROUND(Scores!G29*Settings!$B$13+Scores!H29*Settings!$B$14,1))</f>
        <v/>
      </c>
      <c r="F29" s="33" t="str">
        <f aca="false">IF(OR($A29="",Scores!I29="",Scores!J29=""),"",ROUND(Scores!I29*Settings!$B$13+Scores!J29*Settings!$B$14,1))</f>
        <v/>
      </c>
      <c r="G29" s="33" t="str">
        <f aca="false">IF(OR($A29="",Scores!K29="",Scores!L29=""),"",ROUND(Scores!K29*Settings!$B$13+Scores!L29*Settings!$B$14,1))</f>
        <v/>
      </c>
      <c r="H29" s="33" t="str">
        <f aca="false">IF(OR($A29="",Scores!M29="",Scores!N29=""),"",ROUND(Scores!M29*Settings!$B$13+Scores!N29*Settings!$B$14,1))</f>
        <v/>
      </c>
      <c r="I29" s="33" t="str">
        <f aca="false">IF(COUNT(C29:H29)=0,"",SUM(C29:H29))</f>
        <v/>
      </c>
      <c r="J29" s="34" t="str">
        <f aca="false">IF(COUNT(C29:H29)=0,"",ROUND(AVERAGE(C29:H29),1))</f>
        <v/>
      </c>
      <c r="K29" s="35" t="str">
        <f aca="false">IF(J29="","",INDEX(Settings!$B$28:$B$33,MATCH(J29,Settings!$A$28:$A$33,1)))</f>
        <v/>
      </c>
      <c r="L29" s="28" t="str">
        <f aca="false">IF(J29="","",RANK(J29,$J$6:$J$45,0))</f>
        <v/>
      </c>
      <c r="M29" s="17" t="str">
        <f aca="false">IF(L29="","",L29&amp;IF(AND(MOD(L29,100)&gt;=11,MOD(L29,100)&lt;=13),"th",CHOOSE(MOD(L29,10)+1,"th","st","nd","rd","th","th","th","th","th","th")))</f>
        <v/>
      </c>
      <c r="N29" s="29" t="str">
        <f aca="false">IF(J29="","",COUNTIF(C29:H29,"&gt;="&amp;Settings!$B$11))</f>
        <v/>
      </c>
      <c r="O29" s="30" t="str">
        <f aca="false">IF(Attendance!F29="","",Attendance!F29)</f>
        <v/>
      </c>
      <c r="P29" s="8" t="str">
        <f aca="false">IF(J29="","",IF(AND(J29&gt;=Settings!$B$11,OR(O29="",O29&gt;=Settings!$B$12)),"Promoted",IF(J29&lt;Settings!$B$11,IF(AND(O29&lt;&gt;"",O29&lt;Settings!$B$12),"At Risk - Academic &amp; Attendance","At Risk - Academic"),"At Risk - Attendance")))</f>
        <v/>
      </c>
      <c r="Q29" s="36" t="str">
        <f aca="false">IF(J29="","",L29+COUNTIF($J$5:J28,J29))</f>
        <v/>
      </c>
    </row>
    <row r="30" customFormat="false" ht="15" hidden="false" customHeight="false" outlineLevel="0" collapsed="false">
      <c r="A30" s="25" t="str">
        <f aca="false">IF(Students!A30="","",Students!A30)</f>
        <v/>
      </c>
      <c r="B30" s="26" t="str">
        <f aca="false">IF(Students!A30="","",Students!B30)</f>
        <v/>
      </c>
      <c r="C30" s="33" t="str">
        <f aca="false">IF(OR($A30="",Scores!C30="",Scores!D30=""),"",ROUND(Scores!C30*Settings!$B$13+Scores!D30*Settings!$B$14,1))</f>
        <v/>
      </c>
      <c r="D30" s="33" t="str">
        <f aca="false">IF(OR($A30="",Scores!E30="",Scores!F30=""),"",ROUND(Scores!E30*Settings!$B$13+Scores!F30*Settings!$B$14,1))</f>
        <v/>
      </c>
      <c r="E30" s="33" t="str">
        <f aca="false">IF(OR($A30="",Scores!G30="",Scores!H30=""),"",ROUND(Scores!G30*Settings!$B$13+Scores!H30*Settings!$B$14,1))</f>
        <v/>
      </c>
      <c r="F30" s="33" t="str">
        <f aca="false">IF(OR($A30="",Scores!I30="",Scores!J30=""),"",ROUND(Scores!I30*Settings!$B$13+Scores!J30*Settings!$B$14,1))</f>
        <v/>
      </c>
      <c r="G30" s="33" t="str">
        <f aca="false">IF(OR($A30="",Scores!K30="",Scores!L30=""),"",ROUND(Scores!K30*Settings!$B$13+Scores!L30*Settings!$B$14,1))</f>
        <v/>
      </c>
      <c r="H30" s="33" t="str">
        <f aca="false">IF(OR($A30="",Scores!M30="",Scores!N30=""),"",ROUND(Scores!M30*Settings!$B$13+Scores!N30*Settings!$B$14,1))</f>
        <v/>
      </c>
      <c r="I30" s="33" t="str">
        <f aca="false">IF(COUNT(C30:H30)=0,"",SUM(C30:H30))</f>
        <v/>
      </c>
      <c r="J30" s="34" t="str">
        <f aca="false">IF(COUNT(C30:H30)=0,"",ROUND(AVERAGE(C30:H30),1))</f>
        <v/>
      </c>
      <c r="K30" s="35" t="str">
        <f aca="false">IF(J30="","",INDEX(Settings!$B$28:$B$33,MATCH(J30,Settings!$A$28:$A$33,1)))</f>
        <v/>
      </c>
      <c r="L30" s="28" t="str">
        <f aca="false">IF(J30="","",RANK(J30,$J$6:$J$45,0))</f>
        <v/>
      </c>
      <c r="M30" s="17" t="str">
        <f aca="false">IF(L30="","",L30&amp;IF(AND(MOD(L30,100)&gt;=11,MOD(L30,100)&lt;=13),"th",CHOOSE(MOD(L30,10)+1,"th","st","nd","rd","th","th","th","th","th","th")))</f>
        <v/>
      </c>
      <c r="N30" s="29" t="str">
        <f aca="false">IF(J30="","",COUNTIF(C30:H30,"&gt;="&amp;Settings!$B$11))</f>
        <v/>
      </c>
      <c r="O30" s="30" t="str">
        <f aca="false">IF(Attendance!F30="","",Attendance!F30)</f>
        <v/>
      </c>
      <c r="P30" s="8" t="str">
        <f aca="false">IF(J30="","",IF(AND(J30&gt;=Settings!$B$11,OR(O30="",O30&gt;=Settings!$B$12)),"Promoted",IF(J30&lt;Settings!$B$11,IF(AND(O30&lt;&gt;"",O30&lt;Settings!$B$12),"At Risk - Academic &amp; Attendance","At Risk - Academic"),"At Risk - Attendance")))</f>
        <v/>
      </c>
      <c r="Q30" s="36" t="str">
        <f aca="false">IF(J30="","",L30+COUNTIF($J$5:J29,J30))</f>
        <v/>
      </c>
    </row>
    <row r="31" customFormat="false" ht="15" hidden="false" customHeight="false" outlineLevel="0" collapsed="false">
      <c r="A31" s="25" t="str">
        <f aca="false">IF(Students!A31="","",Students!A31)</f>
        <v/>
      </c>
      <c r="B31" s="26" t="str">
        <f aca="false">IF(Students!A31="","",Students!B31)</f>
        <v/>
      </c>
      <c r="C31" s="33" t="str">
        <f aca="false">IF(OR($A31="",Scores!C31="",Scores!D31=""),"",ROUND(Scores!C31*Settings!$B$13+Scores!D31*Settings!$B$14,1))</f>
        <v/>
      </c>
      <c r="D31" s="33" t="str">
        <f aca="false">IF(OR($A31="",Scores!E31="",Scores!F31=""),"",ROUND(Scores!E31*Settings!$B$13+Scores!F31*Settings!$B$14,1))</f>
        <v/>
      </c>
      <c r="E31" s="33" t="str">
        <f aca="false">IF(OR($A31="",Scores!G31="",Scores!H31=""),"",ROUND(Scores!G31*Settings!$B$13+Scores!H31*Settings!$B$14,1))</f>
        <v/>
      </c>
      <c r="F31" s="33" t="str">
        <f aca="false">IF(OR($A31="",Scores!I31="",Scores!J31=""),"",ROUND(Scores!I31*Settings!$B$13+Scores!J31*Settings!$B$14,1))</f>
        <v/>
      </c>
      <c r="G31" s="33" t="str">
        <f aca="false">IF(OR($A31="",Scores!K31="",Scores!L31=""),"",ROUND(Scores!K31*Settings!$B$13+Scores!L31*Settings!$B$14,1))</f>
        <v/>
      </c>
      <c r="H31" s="33" t="str">
        <f aca="false">IF(OR($A31="",Scores!M31="",Scores!N31=""),"",ROUND(Scores!M31*Settings!$B$13+Scores!N31*Settings!$B$14,1))</f>
        <v/>
      </c>
      <c r="I31" s="33" t="str">
        <f aca="false">IF(COUNT(C31:H31)=0,"",SUM(C31:H31))</f>
        <v/>
      </c>
      <c r="J31" s="34" t="str">
        <f aca="false">IF(COUNT(C31:H31)=0,"",ROUND(AVERAGE(C31:H31),1))</f>
        <v/>
      </c>
      <c r="K31" s="35" t="str">
        <f aca="false">IF(J31="","",INDEX(Settings!$B$28:$B$33,MATCH(J31,Settings!$A$28:$A$33,1)))</f>
        <v/>
      </c>
      <c r="L31" s="28" t="str">
        <f aca="false">IF(J31="","",RANK(J31,$J$6:$J$45,0))</f>
        <v/>
      </c>
      <c r="M31" s="17" t="str">
        <f aca="false">IF(L31="","",L31&amp;IF(AND(MOD(L31,100)&gt;=11,MOD(L31,100)&lt;=13),"th",CHOOSE(MOD(L31,10)+1,"th","st","nd","rd","th","th","th","th","th","th")))</f>
        <v/>
      </c>
      <c r="N31" s="29" t="str">
        <f aca="false">IF(J31="","",COUNTIF(C31:H31,"&gt;="&amp;Settings!$B$11))</f>
        <v/>
      </c>
      <c r="O31" s="30" t="str">
        <f aca="false">IF(Attendance!F31="","",Attendance!F31)</f>
        <v/>
      </c>
      <c r="P31" s="8" t="str">
        <f aca="false">IF(J31="","",IF(AND(J31&gt;=Settings!$B$11,OR(O31="",O31&gt;=Settings!$B$12)),"Promoted",IF(J31&lt;Settings!$B$11,IF(AND(O31&lt;&gt;"",O31&lt;Settings!$B$12),"At Risk - Academic &amp; Attendance","At Risk - Academic"),"At Risk - Attendance")))</f>
        <v/>
      </c>
      <c r="Q31" s="36" t="str">
        <f aca="false">IF(J31="","",L31+COUNTIF($J$5:J30,J31))</f>
        <v/>
      </c>
    </row>
    <row r="32" customFormat="false" ht="15" hidden="false" customHeight="false" outlineLevel="0" collapsed="false">
      <c r="A32" s="25" t="str">
        <f aca="false">IF(Students!A32="","",Students!A32)</f>
        <v/>
      </c>
      <c r="B32" s="26" t="str">
        <f aca="false">IF(Students!A32="","",Students!B32)</f>
        <v/>
      </c>
      <c r="C32" s="33" t="str">
        <f aca="false">IF(OR($A32="",Scores!C32="",Scores!D32=""),"",ROUND(Scores!C32*Settings!$B$13+Scores!D32*Settings!$B$14,1))</f>
        <v/>
      </c>
      <c r="D32" s="33" t="str">
        <f aca="false">IF(OR($A32="",Scores!E32="",Scores!F32=""),"",ROUND(Scores!E32*Settings!$B$13+Scores!F32*Settings!$B$14,1))</f>
        <v/>
      </c>
      <c r="E32" s="33" t="str">
        <f aca="false">IF(OR($A32="",Scores!G32="",Scores!H32=""),"",ROUND(Scores!G32*Settings!$B$13+Scores!H32*Settings!$B$14,1))</f>
        <v/>
      </c>
      <c r="F32" s="33" t="str">
        <f aca="false">IF(OR($A32="",Scores!I32="",Scores!J32=""),"",ROUND(Scores!I32*Settings!$B$13+Scores!J32*Settings!$B$14,1))</f>
        <v/>
      </c>
      <c r="G32" s="33" t="str">
        <f aca="false">IF(OR($A32="",Scores!K32="",Scores!L32=""),"",ROUND(Scores!K32*Settings!$B$13+Scores!L32*Settings!$B$14,1))</f>
        <v/>
      </c>
      <c r="H32" s="33" t="str">
        <f aca="false">IF(OR($A32="",Scores!M32="",Scores!N32=""),"",ROUND(Scores!M32*Settings!$B$13+Scores!N32*Settings!$B$14,1))</f>
        <v/>
      </c>
      <c r="I32" s="33" t="str">
        <f aca="false">IF(COUNT(C32:H32)=0,"",SUM(C32:H32))</f>
        <v/>
      </c>
      <c r="J32" s="34" t="str">
        <f aca="false">IF(COUNT(C32:H32)=0,"",ROUND(AVERAGE(C32:H32),1))</f>
        <v/>
      </c>
      <c r="K32" s="35" t="str">
        <f aca="false">IF(J32="","",INDEX(Settings!$B$28:$B$33,MATCH(J32,Settings!$A$28:$A$33,1)))</f>
        <v/>
      </c>
      <c r="L32" s="28" t="str">
        <f aca="false">IF(J32="","",RANK(J32,$J$6:$J$45,0))</f>
        <v/>
      </c>
      <c r="M32" s="17" t="str">
        <f aca="false">IF(L32="","",L32&amp;IF(AND(MOD(L32,100)&gt;=11,MOD(L32,100)&lt;=13),"th",CHOOSE(MOD(L32,10)+1,"th","st","nd","rd","th","th","th","th","th","th")))</f>
        <v/>
      </c>
      <c r="N32" s="29" t="str">
        <f aca="false">IF(J32="","",COUNTIF(C32:H32,"&gt;="&amp;Settings!$B$11))</f>
        <v/>
      </c>
      <c r="O32" s="30" t="str">
        <f aca="false">IF(Attendance!F32="","",Attendance!F32)</f>
        <v/>
      </c>
      <c r="P32" s="8" t="str">
        <f aca="false">IF(J32="","",IF(AND(J32&gt;=Settings!$B$11,OR(O32="",O32&gt;=Settings!$B$12)),"Promoted",IF(J32&lt;Settings!$B$11,IF(AND(O32&lt;&gt;"",O32&lt;Settings!$B$12),"At Risk - Academic &amp; Attendance","At Risk - Academic"),"At Risk - Attendance")))</f>
        <v/>
      </c>
      <c r="Q32" s="36" t="str">
        <f aca="false">IF(J32="","",L32+COUNTIF($J$5:J31,J32))</f>
        <v/>
      </c>
    </row>
    <row r="33" customFormat="false" ht="15" hidden="false" customHeight="false" outlineLevel="0" collapsed="false">
      <c r="A33" s="25" t="str">
        <f aca="false">IF(Students!A33="","",Students!A33)</f>
        <v/>
      </c>
      <c r="B33" s="26" t="str">
        <f aca="false">IF(Students!A33="","",Students!B33)</f>
        <v/>
      </c>
      <c r="C33" s="33" t="str">
        <f aca="false">IF(OR($A33="",Scores!C33="",Scores!D33=""),"",ROUND(Scores!C33*Settings!$B$13+Scores!D33*Settings!$B$14,1))</f>
        <v/>
      </c>
      <c r="D33" s="33" t="str">
        <f aca="false">IF(OR($A33="",Scores!E33="",Scores!F33=""),"",ROUND(Scores!E33*Settings!$B$13+Scores!F33*Settings!$B$14,1))</f>
        <v/>
      </c>
      <c r="E33" s="33" t="str">
        <f aca="false">IF(OR($A33="",Scores!G33="",Scores!H33=""),"",ROUND(Scores!G33*Settings!$B$13+Scores!H33*Settings!$B$14,1))</f>
        <v/>
      </c>
      <c r="F33" s="33" t="str">
        <f aca="false">IF(OR($A33="",Scores!I33="",Scores!J33=""),"",ROUND(Scores!I33*Settings!$B$13+Scores!J33*Settings!$B$14,1))</f>
        <v/>
      </c>
      <c r="G33" s="33" t="str">
        <f aca="false">IF(OR($A33="",Scores!K33="",Scores!L33=""),"",ROUND(Scores!K33*Settings!$B$13+Scores!L33*Settings!$B$14,1))</f>
        <v/>
      </c>
      <c r="H33" s="33" t="str">
        <f aca="false">IF(OR($A33="",Scores!M33="",Scores!N33=""),"",ROUND(Scores!M33*Settings!$B$13+Scores!N33*Settings!$B$14,1))</f>
        <v/>
      </c>
      <c r="I33" s="33" t="str">
        <f aca="false">IF(COUNT(C33:H33)=0,"",SUM(C33:H33))</f>
        <v/>
      </c>
      <c r="J33" s="34" t="str">
        <f aca="false">IF(COUNT(C33:H33)=0,"",ROUND(AVERAGE(C33:H33),1))</f>
        <v/>
      </c>
      <c r="K33" s="35" t="str">
        <f aca="false">IF(J33="","",INDEX(Settings!$B$28:$B$33,MATCH(J33,Settings!$A$28:$A$33,1)))</f>
        <v/>
      </c>
      <c r="L33" s="28" t="str">
        <f aca="false">IF(J33="","",RANK(J33,$J$6:$J$45,0))</f>
        <v/>
      </c>
      <c r="M33" s="17" t="str">
        <f aca="false">IF(L33="","",L33&amp;IF(AND(MOD(L33,100)&gt;=11,MOD(L33,100)&lt;=13),"th",CHOOSE(MOD(L33,10)+1,"th","st","nd","rd","th","th","th","th","th","th")))</f>
        <v/>
      </c>
      <c r="N33" s="29" t="str">
        <f aca="false">IF(J33="","",COUNTIF(C33:H33,"&gt;="&amp;Settings!$B$11))</f>
        <v/>
      </c>
      <c r="O33" s="30" t="str">
        <f aca="false">IF(Attendance!F33="","",Attendance!F33)</f>
        <v/>
      </c>
      <c r="P33" s="8" t="str">
        <f aca="false">IF(J33="","",IF(AND(J33&gt;=Settings!$B$11,OR(O33="",O33&gt;=Settings!$B$12)),"Promoted",IF(J33&lt;Settings!$B$11,IF(AND(O33&lt;&gt;"",O33&lt;Settings!$B$12),"At Risk - Academic &amp; Attendance","At Risk - Academic"),"At Risk - Attendance")))</f>
        <v/>
      </c>
      <c r="Q33" s="36" t="str">
        <f aca="false">IF(J33="","",L33+COUNTIF($J$5:J32,J33))</f>
        <v/>
      </c>
    </row>
    <row r="34" customFormat="false" ht="15" hidden="false" customHeight="false" outlineLevel="0" collapsed="false">
      <c r="A34" s="25" t="str">
        <f aca="false">IF(Students!A34="","",Students!A34)</f>
        <v/>
      </c>
      <c r="B34" s="26" t="str">
        <f aca="false">IF(Students!A34="","",Students!B34)</f>
        <v/>
      </c>
      <c r="C34" s="33" t="str">
        <f aca="false">IF(OR($A34="",Scores!C34="",Scores!D34=""),"",ROUND(Scores!C34*Settings!$B$13+Scores!D34*Settings!$B$14,1))</f>
        <v/>
      </c>
      <c r="D34" s="33" t="str">
        <f aca="false">IF(OR($A34="",Scores!E34="",Scores!F34=""),"",ROUND(Scores!E34*Settings!$B$13+Scores!F34*Settings!$B$14,1))</f>
        <v/>
      </c>
      <c r="E34" s="33" t="str">
        <f aca="false">IF(OR($A34="",Scores!G34="",Scores!H34=""),"",ROUND(Scores!G34*Settings!$B$13+Scores!H34*Settings!$B$14,1))</f>
        <v/>
      </c>
      <c r="F34" s="33" t="str">
        <f aca="false">IF(OR($A34="",Scores!I34="",Scores!J34=""),"",ROUND(Scores!I34*Settings!$B$13+Scores!J34*Settings!$B$14,1))</f>
        <v/>
      </c>
      <c r="G34" s="33" t="str">
        <f aca="false">IF(OR($A34="",Scores!K34="",Scores!L34=""),"",ROUND(Scores!K34*Settings!$B$13+Scores!L34*Settings!$B$14,1))</f>
        <v/>
      </c>
      <c r="H34" s="33" t="str">
        <f aca="false">IF(OR($A34="",Scores!M34="",Scores!N34=""),"",ROUND(Scores!M34*Settings!$B$13+Scores!N34*Settings!$B$14,1))</f>
        <v/>
      </c>
      <c r="I34" s="33" t="str">
        <f aca="false">IF(COUNT(C34:H34)=0,"",SUM(C34:H34))</f>
        <v/>
      </c>
      <c r="J34" s="34" t="str">
        <f aca="false">IF(COUNT(C34:H34)=0,"",ROUND(AVERAGE(C34:H34),1))</f>
        <v/>
      </c>
      <c r="K34" s="35" t="str">
        <f aca="false">IF(J34="","",INDEX(Settings!$B$28:$B$33,MATCH(J34,Settings!$A$28:$A$33,1)))</f>
        <v/>
      </c>
      <c r="L34" s="28" t="str">
        <f aca="false">IF(J34="","",RANK(J34,$J$6:$J$45,0))</f>
        <v/>
      </c>
      <c r="M34" s="17" t="str">
        <f aca="false">IF(L34="","",L34&amp;IF(AND(MOD(L34,100)&gt;=11,MOD(L34,100)&lt;=13),"th",CHOOSE(MOD(L34,10)+1,"th","st","nd","rd","th","th","th","th","th","th")))</f>
        <v/>
      </c>
      <c r="N34" s="29" t="str">
        <f aca="false">IF(J34="","",COUNTIF(C34:H34,"&gt;="&amp;Settings!$B$11))</f>
        <v/>
      </c>
      <c r="O34" s="30" t="str">
        <f aca="false">IF(Attendance!F34="","",Attendance!F34)</f>
        <v/>
      </c>
      <c r="P34" s="8" t="str">
        <f aca="false">IF(J34="","",IF(AND(J34&gt;=Settings!$B$11,OR(O34="",O34&gt;=Settings!$B$12)),"Promoted",IF(J34&lt;Settings!$B$11,IF(AND(O34&lt;&gt;"",O34&lt;Settings!$B$12),"At Risk - Academic &amp; Attendance","At Risk - Academic"),"At Risk - Attendance")))</f>
        <v/>
      </c>
      <c r="Q34" s="36" t="str">
        <f aca="false">IF(J34="","",L34+COUNTIF($J$5:J33,J34))</f>
        <v/>
      </c>
    </row>
    <row r="35" customFormat="false" ht="15" hidden="false" customHeight="false" outlineLevel="0" collapsed="false">
      <c r="A35" s="25" t="str">
        <f aca="false">IF(Students!A35="","",Students!A35)</f>
        <v/>
      </c>
      <c r="B35" s="26" t="str">
        <f aca="false">IF(Students!A35="","",Students!B35)</f>
        <v/>
      </c>
      <c r="C35" s="33" t="str">
        <f aca="false">IF(OR($A35="",Scores!C35="",Scores!D35=""),"",ROUND(Scores!C35*Settings!$B$13+Scores!D35*Settings!$B$14,1))</f>
        <v/>
      </c>
      <c r="D35" s="33" t="str">
        <f aca="false">IF(OR($A35="",Scores!E35="",Scores!F35=""),"",ROUND(Scores!E35*Settings!$B$13+Scores!F35*Settings!$B$14,1))</f>
        <v/>
      </c>
      <c r="E35" s="33" t="str">
        <f aca="false">IF(OR($A35="",Scores!G35="",Scores!H35=""),"",ROUND(Scores!G35*Settings!$B$13+Scores!H35*Settings!$B$14,1))</f>
        <v/>
      </c>
      <c r="F35" s="33" t="str">
        <f aca="false">IF(OR($A35="",Scores!I35="",Scores!J35=""),"",ROUND(Scores!I35*Settings!$B$13+Scores!J35*Settings!$B$14,1))</f>
        <v/>
      </c>
      <c r="G35" s="33" t="str">
        <f aca="false">IF(OR($A35="",Scores!K35="",Scores!L35=""),"",ROUND(Scores!K35*Settings!$B$13+Scores!L35*Settings!$B$14,1))</f>
        <v/>
      </c>
      <c r="H35" s="33" t="str">
        <f aca="false">IF(OR($A35="",Scores!M35="",Scores!N35=""),"",ROUND(Scores!M35*Settings!$B$13+Scores!N35*Settings!$B$14,1))</f>
        <v/>
      </c>
      <c r="I35" s="33" t="str">
        <f aca="false">IF(COUNT(C35:H35)=0,"",SUM(C35:H35))</f>
        <v/>
      </c>
      <c r="J35" s="34" t="str">
        <f aca="false">IF(COUNT(C35:H35)=0,"",ROUND(AVERAGE(C35:H35),1))</f>
        <v/>
      </c>
      <c r="K35" s="35" t="str">
        <f aca="false">IF(J35="","",INDEX(Settings!$B$28:$B$33,MATCH(J35,Settings!$A$28:$A$33,1)))</f>
        <v/>
      </c>
      <c r="L35" s="28" t="str">
        <f aca="false">IF(J35="","",RANK(J35,$J$6:$J$45,0))</f>
        <v/>
      </c>
      <c r="M35" s="17" t="str">
        <f aca="false">IF(L35="","",L35&amp;IF(AND(MOD(L35,100)&gt;=11,MOD(L35,100)&lt;=13),"th",CHOOSE(MOD(L35,10)+1,"th","st","nd","rd","th","th","th","th","th","th")))</f>
        <v/>
      </c>
      <c r="N35" s="29" t="str">
        <f aca="false">IF(J35="","",COUNTIF(C35:H35,"&gt;="&amp;Settings!$B$11))</f>
        <v/>
      </c>
      <c r="O35" s="30" t="str">
        <f aca="false">IF(Attendance!F35="","",Attendance!F35)</f>
        <v/>
      </c>
      <c r="P35" s="8" t="str">
        <f aca="false">IF(J35="","",IF(AND(J35&gt;=Settings!$B$11,OR(O35="",O35&gt;=Settings!$B$12)),"Promoted",IF(J35&lt;Settings!$B$11,IF(AND(O35&lt;&gt;"",O35&lt;Settings!$B$12),"At Risk - Academic &amp; Attendance","At Risk - Academic"),"At Risk - Attendance")))</f>
        <v/>
      </c>
      <c r="Q35" s="36" t="str">
        <f aca="false">IF(J35="","",L35+COUNTIF($J$5:J34,J35))</f>
        <v/>
      </c>
    </row>
    <row r="36" customFormat="false" ht="15" hidden="false" customHeight="false" outlineLevel="0" collapsed="false">
      <c r="A36" s="25" t="str">
        <f aca="false">IF(Students!A36="","",Students!A36)</f>
        <v/>
      </c>
      <c r="B36" s="26" t="str">
        <f aca="false">IF(Students!A36="","",Students!B36)</f>
        <v/>
      </c>
      <c r="C36" s="33" t="str">
        <f aca="false">IF(OR($A36="",Scores!C36="",Scores!D36=""),"",ROUND(Scores!C36*Settings!$B$13+Scores!D36*Settings!$B$14,1))</f>
        <v/>
      </c>
      <c r="D36" s="33" t="str">
        <f aca="false">IF(OR($A36="",Scores!E36="",Scores!F36=""),"",ROUND(Scores!E36*Settings!$B$13+Scores!F36*Settings!$B$14,1))</f>
        <v/>
      </c>
      <c r="E36" s="33" t="str">
        <f aca="false">IF(OR($A36="",Scores!G36="",Scores!H36=""),"",ROUND(Scores!G36*Settings!$B$13+Scores!H36*Settings!$B$14,1))</f>
        <v/>
      </c>
      <c r="F36" s="33" t="str">
        <f aca="false">IF(OR($A36="",Scores!I36="",Scores!J36=""),"",ROUND(Scores!I36*Settings!$B$13+Scores!J36*Settings!$B$14,1))</f>
        <v/>
      </c>
      <c r="G36" s="33" t="str">
        <f aca="false">IF(OR($A36="",Scores!K36="",Scores!L36=""),"",ROUND(Scores!K36*Settings!$B$13+Scores!L36*Settings!$B$14,1))</f>
        <v/>
      </c>
      <c r="H36" s="33" t="str">
        <f aca="false">IF(OR($A36="",Scores!M36="",Scores!N36=""),"",ROUND(Scores!M36*Settings!$B$13+Scores!N36*Settings!$B$14,1))</f>
        <v/>
      </c>
      <c r="I36" s="33" t="str">
        <f aca="false">IF(COUNT(C36:H36)=0,"",SUM(C36:H36))</f>
        <v/>
      </c>
      <c r="J36" s="34" t="str">
        <f aca="false">IF(COUNT(C36:H36)=0,"",ROUND(AVERAGE(C36:H36),1))</f>
        <v/>
      </c>
      <c r="K36" s="35" t="str">
        <f aca="false">IF(J36="","",INDEX(Settings!$B$28:$B$33,MATCH(J36,Settings!$A$28:$A$33,1)))</f>
        <v/>
      </c>
      <c r="L36" s="28" t="str">
        <f aca="false">IF(J36="","",RANK(J36,$J$6:$J$45,0))</f>
        <v/>
      </c>
      <c r="M36" s="17" t="str">
        <f aca="false">IF(L36="","",L36&amp;IF(AND(MOD(L36,100)&gt;=11,MOD(L36,100)&lt;=13),"th",CHOOSE(MOD(L36,10)+1,"th","st","nd","rd","th","th","th","th","th","th")))</f>
        <v/>
      </c>
      <c r="N36" s="29" t="str">
        <f aca="false">IF(J36="","",COUNTIF(C36:H36,"&gt;="&amp;Settings!$B$11))</f>
        <v/>
      </c>
      <c r="O36" s="30" t="str">
        <f aca="false">IF(Attendance!F36="","",Attendance!F36)</f>
        <v/>
      </c>
      <c r="P36" s="8" t="str">
        <f aca="false">IF(J36="","",IF(AND(J36&gt;=Settings!$B$11,OR(O36="",O36&gt;=Settings!$B$12)),"Promoted",IF(J36&lt;Settings!$B$11,IF(AND(O36&lt;&gt;"",O36&lt;Settings!$B$12),"At Risk - Academic &amp; Attendance","At Risk - Academic"),"At Risk - Attendance")))</f>
        <v/>
      </c>
      <c r="Q36" s="36" t="str">
        <f aca="false">IF(J36="","",L36+COUNTIF($J$5:J35,J36))</f>
        <v/>
      </c>
    </row>
    <row r="37" customFormat="false" ht="15" hidden="false" customHeight="false" outlineLevel="0" collapsed="false">
      <c r="A37" s="25" t="str">
        <f aca="false">IF(Students!A37="","",Students!A37)</f>
        <v/>
      </c>
      <c r="B37" s="26" t="str">
        <f aca="false">IF(Students!A37="","",Students!B37)</f>
        <v/>
      </c>
      <c r="C37" s="33" t="str">
        <f aca="false">IF(OR($A37="",Scores!C37="",Scores!D37=""),"",ROUND(Scores!C37*Settings!$B$13+Scores!D37*Settings!$B$14,1))</f>
        <v/>
      </c>
      <c r="D37" s="33" t="str">
        <f aca="false">IF(OR($A37="",Scores!E37="",Scores!F37=""),"",ROUND(Scores!E37*Settings!$B$13+Scores!F37*Settings!$B$14,1))</f>
        <v/>
      </c>
      <c r="E37" s="33" t="str">
        <f aca="false">IF(OR($A37="",Scores!G37="",Scores!H37=""),"",ROUND(Scores!G37*Settings!$B$13+Scores!H37*Settings!$B$14,1))</f>
        <v/>
      </c>
      <c r="F37" s="33" t="str">
        <f aca="false">IF(OR($A37="",Scores!I37="",Scores!J37=""),"",ROUND(Scores!I37*Settings!$B$13+Scores!J37*Settings!$B$14,1))</f>
        <v/>
      </c>
      <c r="G37" s="33" t="str">
        <f aca="false">IF(OR($A37="",Scores!K37="",Scores!L37=""),"",ROUND(Scores!K37*Settings!$B$13+Scores!L37*Settings!$B$14,1))</f>
        <v/>
      </c>
      <c r="H37" s="33" t="str">
        <f aca="false">IF(OR($A37="",Scores!M37="",Scores!N37=""),"",ROUND(Scores!M37*Settings!$B$13+Scores!N37*Settings!$B$14,1))</f>
        <v/>
      </c>
      <c r="I37" s="33" t="str">
        <f aca="false">IF(COUNT(C37:H37)=0,"",SUM(C37:H37))</f>
        <v/>
      </c>
      <c r="J37" s="34" t="str">
        <f aca="false">IF(COUNT(C37:H37)=0,"",ROUND(AVERAGE(C37:H37),1))</f>
        <v/>
      </c>
      <c r="K37" s="35" t="str">
        <f aca="false">IF(J37="","",INDEX(Settings!$B$28:$B$33,MATCH(J37,Settings!$A$28:$A$33,1)))</f>
        <v/>
      </c>
      <c r="L37" s="28" t="str">
        <f aca="false">IF(J37="","",RANK(J37,$J$6:$J$45,0))</f>
        <v/>
      </c>
      <c r="M37" s="17" t="str">
        <f aca="false">IF(L37="","",L37&amp;IF(AND(MOD(L37,100)&gt;=11,MOD(L37,100)&lt;=13),"th",CHOOSE(MOD(L37,10)+1,"th","st","nd","rd","th","th","th","th","th","th")))</f>
        <v/>
      </c>
      <c r="N37" s="29" t="str">
        <f aca="false">IF(J37="","",COUNTIF(C37:H37,"&gt;="&amp;Settings!$B$11))</f>
        <v/>
      </c>
      <c r="O37" s="30" t="str">
        <f aca="false">IF(Attendance!F37="","",Attendance!F37)</f>
        <v/>
      </c>
      <c r="P37" s="8" t="str">
        <f aca="false">IF(J37="","",IF(AND(J37&gt;=Settings!$B$11,OR(O37="",O37&gt;=Settings!$B$12)),"Promoted",IF(J37&lt;Settings!$B$11,IF(AND(O37&lt;&gt;"",O37&lt;Settings!$B$12),"At Risk - Academic &amp; Attendance","At Risk - Academic"),"At Risk - Attendance")))</f>
        <v/>
      </c>
      <c r="Q37" s="36" t="str">
        <f aca="false">IF(J37="","",L37+COUNTIF($J$5:J36,J37))</f>
        <v/>
      </c>
    </row>
    <row r="38" customFormat="false" ht="15" hidden="false" customHeight="false" outlineLevel="0" collapsed="false">
      <c r="A38" s="25" t="str">
        <f aca="false">IF(Students!A38="","",Students!A38)</f>
        <v/>
      </c>
      <c r="B38" s="26" t="str">
        <f aca="false">IF(Students!A38="","",Students!B38)</f>
        <v/>
      </c>
      <c r="C38" s="33" t="str">
        <f aca="false">IF(OR($A38="",Scores!C38="",Scores!D38=""),"",ROUND(Scores!C38*Settings!$B$13+Scores!D38*Settings!$B$14,1))</f>
        <v/>
      </c>
      <c r="D38" s="33" t="str">
        <f aca="false">IF(OR($A38="",Scores!E38="",Scores!F38=""),"",ROUND(Scores!E38*Settings!$B$13+Scores!F38*Settings!$B$14,1))</f>
        <v/>
      </c>
      <c r="E38" s="33" t="str">
        <f aca="false">IF(OR($A38="",Scores!G38="",Scores!H38=""),"",ROUND(Scores!G38*Settings!$B$13+Scores!H38*Settings!$B$14,1))</f>
        <v/>
      </c>
      <c r="F38" s="33" t="str">
        <f aca="false">IF(OR($A38="",Scores!I38="",Scores!J38=""),"",ROUND(Scores!I38*Settings!$B$13+Scores!J38*Settings!$B$14,1))</f>
        <v/>
      </c>
      <c r="G38" s="33" t="str">
        <f aca="false">IF(OR($A38="",Scores!K38="",Scores!L38=""),"",ROUND(Scores!K38*Settings!$B$13+Scores!L38*Settings!$B$14,1))</f>
        <v/>
      </c>
      <c r="H38" s="33" t="str">
        <f aca="false">IF(OR($A38="",Scores!M38="",Scores!N38=""),"",ROUND(Scores!M38*Settings!$B$13+Scores!N38*Settings!$B$14,1))</f>
        <v/>
      </c>
      <c r="I38" s="33" t="str">
        <f aca="false">IF(COUNT(C38:H38)=0,"",SUM(C38:H38))</f>
        <v/>
      </c>
      <c r="J38" s="34" t="str">
        <f aca="false">IF(COUNT(C38:H38)=0,"",ROUND(AVERAGE(C38:H38),1))</f>
        <v/>
      </c>
      <c r="K38" s="35" t="str">
        <f aca="false">IF(J38="","",INDEX(Settings!$B$28:$B$33,MATCH(J38,Settings!$A$28:$A$33,1)))</f>
        <v/>
      </c>
      <c r="L38" s="28" t="str">
        <f aca="false">IF(J38="","",RANK(J38,$J$6:$J$45,0))</f>
        <v/>
      </c>
      <c r="M38" s="17" t="str">
        <f aca="false">IF(L38="","",L38&amp;IF(AND(MOD(L38,100)&gt;=11,MOD(L38,100)&lt;=13),"th",CHOOSE(MOD(L38,10)+1,"th","st","nd","rd","th","th","th","th","th","th")))</f>
        <v/>
      </c>
      <c r="N38" s="29" t="str">
        <f aca="false">IF(J38="","",COUNTIF(C38:H38,"&gt;="&amp;Settings!$B$11))</f>
        <v/>
      </c>
      <c r="O38" s="30" t="str">
        <f aca="false">IF(Attendance!F38="","",Attendance!F38)</f>
        <v/>
      </c>
      <c r="P38" s="8" t="str">
        <f aca="false">IF(J38="","",IF(AND(J38&gt;=Settings!$B$11,OR(O38="",O38&gt;=Settings!$B$12)),"Promoted",IF(J38&lt;Settings!$B$11,IF(AND(O38&lt;&gt;"",O38&lt;Settings!$B$12),"At Risk - Academic &amp; Attendance","At Risk - Academic"),"At Risk - Attendance")))</f>
        <v/>
      </c>
      <c r="Q38" s="36" t="str">
        <f aca="false">IF(J38="","",L38+COUNTIF($J$5:J37,J38))</f>
        <v/>
      </c>
    </row>
    <row r="39" customFormat="false" ht="15" hidden="false" customHeight="false" outlineLevel="0" collapsed="false">
      <c r="A39" s="25" t="str">
        <f aca="false">IF(Students!A39="","",Students!A39)</f>
        <v/>
      </c>
      <c r="B39" s="26" t="str">
        <f aca="false">IF(Students!A39="","",Students!B39)</f>
        <v/>
      </c>
      <c r="C39" s="33" t="str">
        <f aca="false">IF(OR($A39="",Scores!C39="",Scores!D39=""),"",ROUND(Scores!C39*Settings!$B$13+Scores!D39*Settings!$B$14,1))</f>
        <v/>
      </c>
      <c r="D39" s="33" t="str">
        <f aca="false">IF(OR($A39="",Scores!E39="",Scores!F39=""),"",ROUND(Scores!E39*Settings!$B$13+Scores!F39*Settings!$B$14,1))</f>
        <v/>
      </c>
      <c r="E39" s="33" t="str">
        <f aca="false">IF(OR($A39="",Scores!G39="",Scores!H39=""),"",ROUND(Scores!G39*Settings!$B$13+Scores!H39*Settings!$B$14,1))</f>
        <v/>
      </c>
      <c r="F39" s="33" t="str">
        <f aca="false">IF(OR($A39="",Scores!I39="",Scores!J39=""),"",ROUND(Scores!I39*Settings!$B$13+Scores!J39*Settings!$B$14,1))</f>
        <v/>
      </c>
      <c r="G39" s="33" t="str">
        <f aca="false">IF(OR($A39="",Scores!K39="",Scores!L39=""),"",ROUND(Scores!K39*Settings!$B$13+Scores!L39*Settings!$B$14,1))</f>
        <v/>
      </c>
      <c r="H39" s="33" t="str">
        <f aca="false">IF(OR($A39="",Scores!M39="",Scores!N39=""),"",ROUND(Scores!M39*Settings!$B$13+Scores!N39*Settings!$B$14,1))</f>
        <v/>
      </c>
      <c r="I39" s="33" t="str">
        <f aca="false">IF(COUNT(C39:H39)=0,"",SUM(C39:H39))</f>
        <v/>
      </c>
      <c r="J39" s="34" t="str">
        <f aca="false">IF(COUNT(C39:H39)=0,"",ROUND(AVERAGE(C39:H39),1))</f>
        <v/>
      </c>
      <c r="K39" s="35" t="str">
        <f aca="false">IF(J39="","",INDEX(Settings!$B$28:$B$33,MATCH(J39,Settings!$A$28:$A$33,1)))</f>
        <v/>
      </c>
      <c r="L39" s="28" t="str">
        <f aca="false">IF(J39="","",RANK(J39,$J$6:$J$45,0))</f>
        <v/>
      </c>
      <c r="M39" s="17" t="str">
        <f aca="false">IF(L39="","",L39&amp;IF(AND(MOD(L39,100)&gt;=11,MOD(L39,100)&lt;=13),"th",CHOOSE(MOD(L39,10)+1,"th","st","nd","rd","th","th","th","th","th","th")))</f>
        <v/>
      </c>
      <c r="N39" s="29" t="str">
        <f aca="false">IF(J39="","",COUNTIF(C39:H39,"&gt;="&amp;Settings!$B$11))</f>
        <v/>
      </c>
      <c r="O39" s="30" t="str">
        <f aca="false">IF(Attendance!F39="","",Attendance!F39)</f>
        <v/>
      </c>
      <c r="P39" s="8" t="str">
        <f aca="false">IF(J39="","",IF(AND(J39&gt;=Settings!$B$11,OR(O39="",O39&gt;=Settings!$B$12)),"Promoted",IF(J39&lt;Settings!$B$11,IF(AND(O39&lt;&gt;"",O39&lt;Settings!$B$12),"At Risk - Academic &amp; Attendance","At Risk - Academic"),"At Risk - Attendance")))</f>
        <v/>
      </c>
      <c r="Q39" s="36" t="str">
        <f aca="false">IF(J39="","",L39+COUNTIF($J$5:J38,J39))</f>
        <v/>
      </c>
    </row>
    <row r="40" customFormat="false" ht="15" hidden="false" customHeight="false" outlineLevel="0" collapsed="false">
      <c r="A40" s="25" t="str">
        <f aca="false">IF(Students!A40="","",Students!A40)</f>
        <v/>
      </c>
      <c r="B40" s="26" t="str">
        <f aca="false">IF(Students!A40="","",Students!B40)</f>
        <v/>
      </c>
      <c r="C40" s="33" t="str">
        <f aca="false">IF(OR($A40="",Scores!C40="",Scores!D40=""),"",ROUND(Scores!C40*Settings!$B$13+Scores!D40*Settings!$B$14,1))</f>
        <v/>
      </c>
      <c r="D40" s="33" t="str">
        <f aca="false">IF(OR($A40="",Scores!E40="",Scores!F40=""),"",ROUND(Scores!E40*Settings!$B$13+Scores!F40*Settings!$B$14,1))</f>
        <v/>
      </c>
      <c r="E40" s="33" t="str">
        <f aca="false">IF(OR($A40="",Scores!G40="",Scores!H40=""),"",ROUND(Scores!G40*Settings!$B$13+Scores!H40*Settings!$B$14,1))</f>
        <v/>
      </c>
      <c r="F40" s="33" t="str">
        <f aca="false">IF(OR($A40="",Scores!I40="",Scores!J40=""),"",ROUND(Scores!I40*Settings!$B$13+Scores!J40*Settings!$B$14,1))</f>
        <v/>
      </c>
      <c r="G40" s="33" t="str">
        <f aca="false">IF(OR($A40="",Scores!K40="",Scores!L40=""),"",ROUND(Scores!K40*Settings!$B$13+Scores!L40*Settings!$B$14,1))</f>
        <v/>
      </c>
      <c r="H40" s="33" t="str">
        <f aca="false">IF(OR($A40="",Scores!M40="",Scores!N40=""),"",ROUND(Scores!M40*Settings!$B$13+Scores!N40*Settings!$B$14,1))</f>
        <v/>
      </c>
      <c r="I40" s="33" t="str">
        <f aca="false">IF(COUNT(C40:H40)=0,"",SUM(C40:H40))</f>
        <v/>
      </c>
      <c r="J40" s="34" t="str">
        <f aca="false">IF(COUNT(C40:H40)=0,"",ROUND(AVERAGE(C40:H40),1))</f>
        <v/>
      </c>
      <c r="K40" s="35" t="str">
        <f aca="false">IF(J40="","",INDEX(Settings!$B$28:$B$33,MATCH(J40,Settings!$A$28:$A$33,1)))</f>
        <v/>
      </c>
      <c r="L40" s="28" t="str">
        <f aca="false">IF(J40="","",RANK(J40,$J$6:$J$45,0))</f>
        <v/>
      </c>
      <c r="M40" s="17" t="str">
        <f aca="false">IF(L40="","",L40&amp;IF(AND(MOD(L40,100)&gt;=11,MOD(L40,100)&lt;=13),"th",CHOOSE(MOD(L40,10)+1,"th","st","nd","rd","th","th","th","th","th","th")))</f>
        <v/>
      </c>
      <c r="N40" s="29" t="str">
        <f aca="false">IF(J40="","",COUNTIF(C40:H40,"&gt;="&amp;Settings!$B$11))</f>
        <v/>
      </c>
      <c r="O40" s="30" t="str">
        <f aca="false">IF(Attendance!F40="","",Attendance!F40)</f>
        <v/>
      </c>
      <c r="P40" s="8" t="str">
        <f aca="false">IF(J40="","",IF(AND(J40&gt;=Settings!$B$11,OR(O40="",O40&gt;=Settings!$B$12)),"Promoted",IF(J40&lt;Settings!$B$11,IF(AND(O40&lt;&gt;"",O40&lt;Settings!$B$12),"At Risk - Academic &amp; Attendance","At Risk - Academic"),"At Risk - Attendance")))</f>
        <v/>
      </c>
      <c r="Q40" s="36" t="str">
        <f aca="false">IF(J40="","",L40+COUNTIF($J$5:J39,J40))</f>
        <v/>
      </c>
    </row>
    <row r="41" customFormat="false" ht="15" hidden="false" customHeight="false" outlineLevel="0" collapsed="false">
      <c r="A41" s="25" t="str">
        <f aca="false">IF(Students!A41="","",Students!A41)</f>
        <v/>
      </c>
      <c r="B41" s="26" t="str">
        <f aca="false">IF(Students!A41="","",Students!B41)</f>
        <v/>
      </c>
      <c r="C41" s="33" t="str">
        <f aca="false">IF(OR($A41="",Scores!C41="",Scores!D41=""),"",ROUND(Scores!C41*Settings!$B$13+Scores!D41*Settings!$B$14,1))</f>
        <v/>
      </c>
      <c r="D41" s="33" t="str">
        <f aca="false">IF(OR($A41="",Scores!E41="",Scores!F41=""),"",ROUND(Scores!E41*Settings!$B$13+Scores!F41*Settings!$B$14,1))</f>
        <v/>
      </c>
      <c r="E41" s="33" t="str">
        <f aca="false">IF(OR($A41="",Scores!G41="",Scores!H41=""),"",ROUND(Scores!G41*Settings!$B$13+Scores!H41*Settings!$B$14,1))</f>
        <v/>
      </c>
      <c r="F41" s="33" t="str">
        <f aca="false">IF(OR($A41="",Scores!I41="",Scores!J41=""),"",ROUND(Scores!I41*Settings!$B$13+Scores!J41*Settings!$B$14,1))</f>
        <v/>
      </c>
      <c r="G41" s="33" t="str">
        <f aca="false">IF(OR($A41="",Scores!K41="",Scores!L41=""),"",ROUND(Scores!K41*Settings!$B$13+Scores!L41*Settings!$B$14,1))</f>
        <v/>
      </c>
      <c r="H41" s="33" t="str">
        <f aca="false">IF(OR($A41="",Scores!M41="",Scores!N41=""),"",ROUND(Scores!M41*Settings!$B$13+Scores!N41*Settings!$B$14,1))</f>
        <v/>
      </c>
      <c r="I41" s="33" t="str">
        <f aca="false">IF(COUNT(C41:H41)=0,"",SUM(C41:H41))</f>
        <v/>
      </c>
      <c r="J41" s="34" t="str">
        <f aca="false">IF(COUNT(C41:H41)=0,"",ROUND(AVERAGE(C41:H41),1))</f>
        <v/>
      </c>
      <c r="K41" s="35" t="str">
        <f aca="false">IF(J41="","",INDEX(Settings!$B$28:$B$33,MATCH(J41,Settings!$A$28:$A$33,1)))</f>
        <v/>
      </c>
      <c r="L41" s="28" t="str">
        <f aca="false">IF(J41="","",RANK(J41,$J$6:$J$45,0))</f>
        <v/>
      </c>
      <c r="M41" s="17" t="str">
        <f aca="false">IF(L41="","",L41&amp;IF(AND(MOD(L41,100)&gt;=11,MOD(L41,100)&lt;=13),"th",CHOOSE(MOD(L41,10)+1,"th","st","nd","rd","th","th","th","th","th","th")))</f>
        <v/>
      </c>
      <c r="N41" s="29" t="str">
        <f aca="false">IF(J41="","",COUNTIF(C41:H41,"&gt;="&amp;Settings!$B$11))</f>
        <v/>
      </c>
      <c r="O41" s="30" t="str">
        <f aca="false">IF(Attendance!F41="","",Attendance!F41)</f>
        <v/>
      </c>
      <c r="P41" s="8" t="str">
        <f aca="false">IF(J41="","",IF(AND(J41&gt;=Settings!$B$11,OR(O41="",O41&gt;=Settings!$B$12)),"Promoted",IF(J41&lt;Settings!$B$11,IF(AND(O41&lt;&gt;"",O41&lt;Settings!$B$12),"At Risk - Academic &amp; Attendance","At Risk - Academic"),"At Risk - Attendance")))</f>
        <v/>
      </c>
      <c r="Q41" s="36" t="str">
        <f aca="false">IF(J41="","",L41+COUNTIF($J$5:J40,J41))</f>
        <v/>
      </c>
    </row>
    <row r="42" customFormat="false" ht="15" hidden="false" customHeight="false" outlineLevel="0" collapsed="false">
      <c r="A42" s="25" t="str">
        <f aca="false">IF(Students!A42="","",Students!A42)</f>
        <v/>
      </c>
      <c r="B42" s="26" t="str">
        <f aca="false">IF(Students!A42="","",Students!B42)</f>
        <v/>
      </c>
      <c r="C42" s="33" t="str">
        <f aca="false">IF(OR($A42="",Scores!C42="",Scores!D42=""),"",ROUND(Scores!C42*Settings!$B$13+Scores!D42*Settings!$B$14,1))</f>
        <v/>
      </c>
      <c r="D42" s="33" t="str">
        <f aca="false">IF(OR($A42="",Scores!E42="",Scores!F42=""),"",ROUND(Scores!E42*Settings!$B$13+Scores!F42*Settings!$B$14,1))</f>
        <v/>
      </c>
      <c r="E42" s="33" t="str">
        <f aca="false">IF(OR($A42="",Scores!G42="",Scores!H42=""),"",ROUND(Scores!G42*Settings!$B$13+Scores!H42*Settings!$B$14,1))</f>
        <v/>
      </c>
      <c r="F42" s="33" t="str">
        <f aca="false">IF(OR($A42="",Scores!I42="",Scores!J42=""),"",ROUND(Scores!I42*Settings!$B$13+Scores!J42*Settings!$B$14,1))</f>
        <v/>
      </c>
      <c r="G42" s="33" t="str">
        <f aca="false">IF(OR($A42="",Scores!K42="",Scores!L42=""),"",ROUND(Scores!K42*Settings!$B$13+Scores!L42*Settings!$B$14,1))</f>
        <v/>
      </c>
      <c r="H42" s="33" t="str">
        <f aca="false">IF(OR($A42="",Scores!M42="",Scores!N42=""),"",ROUND(Scores!M42*Settings!$B$13+Scores!N42*Settings!$B$14,1))</f>
        <v/>
      </c>
      <c r="I42" s="33" t="str">
        <f aca="false">IF(COUNT(C42:H42)=0,"",SUM(C42:H42))</f>
        <v/>
      </c>
      <c r="J42" s="34" t="str">
        <f aca="false">IF(COUNT(C42:H42)=0,"",ROUND(AVERAGE(C42:H42),1))</f>
        <v/>
      </c>
      <c r="K42" s="35" t="str">
        <f aca="false">IF(J42="","",INDEX(Settings!$B$28:$B$33,MATCH(J42,Settings!$A$28:$A$33,1)))</f>
        <v/>
      </c>
      <c r="L42" s="28" t="str">
        <f aca="false">IF(J42="","",RANK(J42,$J$6:$J$45,0))</f>
        <v/>
      </c>
      <c r="M42" s="17" t="str">
        <f aca="false">IF(L42="","",L42&amp;IF(AND(MOD(L42,100)&gt;=11,MOD(L42,100)&lt;=13),"th",CHOOSE(MOD(L42,10)+1,"th","st","nd","rd","th","th","th","th","th","th")))</f>
        <v/>
      </c>
      <c r="N42" s="29" t="str">
        <f aca="false">IF(J42="","",COUNTIF(C42:H42,"&gt;="&amp;Settings!$B$11))</f>
        <v/>
      </c>
      <c r="O42" s="30" t="str">
        <f aca="false">IF(Attendance!F42="","",Attendance!F42)</f>
        <v/>
      </c>
      <c r="P42" s="8" t="str">
        <f aca="false">IF(J42="","",IF(AND(J42&gt;=Settings!$B$11,OR(O42="",O42&gt;=Settings!$B$12)),"Promoted",IF(J42&lt;Settings!$B$11,IF(AND(O42&lt;&gt;"",O42&lt;Settings!$B$12),"At Risk - Academic &amp; Attendance","At Risk - Academic"),"At Risk - Attendance")))</f>
        <v/>
      </c>
      <c r="Q42" s="36" t="str">
        <f aca="false">IF(J42="","",L42+COUNTIF($J$5:J41,J42))</f>
        <v/>
      </c>
    </row>
    <row r="43" customFormat="false" ht="15" hidden="false" customHeight="false" outlineLevel="0" collapsed="false">
      <c r="A43" s="25" t="str">
        <f aca="false">IF(Students!A43="","",Students!A43)</f>
        <v/>
      </c>
      <c r="B43" s="26" t="str">
        <f aca="false">IF(Students!A43="","",Students!B43)</f>
        <v/>
      </c>
      <c r="C43" s="33" t="str">
        <f aca="false">IF(OR($A43="",Scores!C43="",Scores!D43=""),"",ROUND(Scores!C43*Settings!$B$13+Scores!D43*Settings!$B$14,1))</f>
        <v/>
      </c>
      <c r="D43" s="33" t="str">
        <f aca="false">IF(OR($A43="",Scores!E43="",Scores!F43=""),"",ROUND(Scores!E43*Settings!$B$13+Scores!F43*Settings!$B$14,1))</f>
        <v/>
      </c>
      <c r="E43" s="33" t="str">
        <f aca="false">IF(OR($A43="",Scores!G43="",Scores!H43=""),"",ROUND(Scores!G43*Settings!$B$13+Scores!H43*Settings!$B$14,1))</f>
        <v/>
      </c>
      <c r="F43" s="33" t="str">
        <f aca="false">IF(OR($A43="",Scores!I43="",Scores!J43=""),"",ROUND(Scores!I43*Settings!$B$13+Scores!J43*Settings!$B$14,1))</f>
        <v/>
      </c>
      <c r="G43" s="33" t="str">
        <f aca="false">IF(OR($A43="",Scores!K43="",Scores!L43=""),"",ROUND(Scores!K43*Settings!$B$13+Scores!L43*Settings!$B$14,1))</f>
        <v/>
      </c>
      <c r="H43" s="33" t="str">
        <f aca="false">IF(OR($A43="",Scores!M43="",Scores!N43=""),"",ROUND(Scores!M43*Settings!$B$13+Scores!N43*Settings!$B$14,1))</f>
        <v/>
      </c>
      <c r="I43" s="33" t="str">
        <f aca="false">IF(COUNT(C43:H43)=0,"",SUM(C43:H43))</f>
        <v/>
      </c>
      <c r="J43" s="34" t="str">
        <f aca="false">IF(COUNT(C43:H43)=0,"",ROUND(AVERAGE(C43:H43),1))</f>
        <v/>
      </c>
      <c r="K43" s="35" t="str">
        <f aca="false">IF(J43="","",INDEX(Settings!$B$28:$B$33,MATCH(J43,Settings!$A$28:$A$33,1)))</f>
        <v/>
      </c>
      <c r="L43" s="28" t="str">
        <f aca="false">IF(J43="","",RANK(J43,$J$6:$J$45,0))</f>
        <v/>
      </c>
      <c r="M43" s="17" t="str">
        <f aca="false">IF(L43="","",L43&amp;IF(AND(MOD(L43,100)&gt;=11,MOD(L43,100)&lt;=13),"th",CHOOSE(MOD(L43,10)+1,"th","st","nd","rd","th","th","th","th","th","th")))</f>
        <v/>
      </c>
      <c r="N43" s="29" t="str">
        <f aca="false">IF(J43="","",COUNTIF(C43:H43,"&gt;="&amp;Settings!$B$11))</f>
        <v/>
      </c>
      <c r="O43" s="30" t="str">
        <f aca="false">IF(Attendance!F43="","",Attendance!F43)</f>
        <v/>
      </c>
      <c r="P43" s="8" t="str">
        <f aca="false">IF(J43="","",IF(AND(J43&gt;=Settings!$B$11,OR(O43="",O43&gt;=Settings!$B$12)),"Promoted",IF(J43&lt;Settings!$B$11,IF(AND(O43&lt;&gt;"",O43&lt;Settings!$B$12),"At Risk - Academic &amp; Attendance","At Risk - Academic"),"At Risk - Attendance")))</f>
        <v/>
      </c>
      <c r="Q43" s="36" t="str">
        <f aca="false">IF(J43="","",L43+COUNTIF($J$5:J42,J43))</f>
        <v/>
      </c>
    </row>
    <row r="44" customFormat="false" ht="15" hidden="false" customHeight="false" outlineLevel="0" collapsed="false">
      <c r="A44" s="25" t="str">
        <f aca="false">IF(Students!A44="","",Students!A44)</f>
        <v/>
      </c>
      <c r="B44" s="26" t="str">
        <f aca="false">IF(Students!A44="","",Students!B44)</f>
        <v/>
      </c>
      <c r="C44" s="33" t="str">
        <f aca="false">IF(OR($A44="",Scores!C44="",Scores!D44=""),"",ROUND(Scores!C44*Settings!$B$13+Scores!D44*Settings!$B$14,1))</f>
        <v/>
      </c>
      <c r="D44" s="33" t="str">
        <f aca="false">IF(OR($A44="",Scores!E44="",Scores!F44=""),"",ROUND(Scores!E44*Settings!$B$13+Scores!F44*Settings!$B$14,1))</f>
        <v/>
      </c>
      <c r="E44" s="33" t="str">
        <f aca="false">IF(OR($A44="",Scores!G44="",Scores!H44=""),"",ROUND(Scores!G44*Settings!$B$13+Scores!H44*Settings!$B$14,1))</f>
        <v/>
      </c>
      <c r="F44" s="33" t="str">
        <f aca="false">IF(OR($A44="",Scores!I44="",Scores!J44=""),"",ROUND(Scores!I44*Settings!$B$13+Scores!J44*Settings!$B$14,1))</f>
        <v/>
      </c>
      <c r="G44" s="33" t="str">
        <f aca="false">IF(OR($A44="",Scores!K44="",Scores!L44=""),"",ROUND(Scores!K44*Settings!$B$13+Scores!L44*Settings!$B$14,1))</f>
        <v/>
      </c>
      <c r="H44" s="33" t="str">
        <f aca="false">IF(OR($A44="",Scores!M44="",Scores!N44=""),"",ROUND(Scores!M44*Settings!$B$13+Scores!N44*Settings!$B$14,1))</f>
        <v/>
      </c>
      <c r="I44" s="33" t="str">
        <f aca="false">IF(COUNT(C44:H44)=0,"",SUM(C44:H44))</f>
        <v/>
      </c>
      <c r="J44" s="34" t="str">
        <f aca="false">IF(COUNT(C44:H44)=0,"",ROUND(AVERAGE(C44:H44),1))</f>
        <v/>
      </c>
      <c r="K44" s="35" t="str">
        <f aca="false">IF(J44="","",INDEX(Settings!$B$28:$B$33,MATCH(J44,Settings!$A$28:$A$33,1)))</f>
        <v/>
      </c>
      <c r="L44" s="28" t="str">
        <f aca="false">IF(J44="","",RANK(J44,$J$6:$J$45,0))</f>
        <v/>
      </c>
      <c r="M44" s="17" t="str">
        <f aca="false">IF(L44="","",L44&amp;IF(AND(MOD(L44,100)&gt;=11,MOD(L44,100)&lt;=13),"th",CHOOSE(MOD(L44,10)+1,"th","st","nd","rd","th","th","th","th","th","th")))</f>
        <v/>
      </c>
      <c r="N44" s="29" t="str">
        <f aca="false">IF(J44="","",COUNTIF(C44:H44,"&gt;="&amp;Settings!$B$11))</f>
        <v/>
      </c>
      <c r="O44" s="30" t="str">
        <f aca="false">IF(Attendance!F44="","",Attendance!F44)</f>
        <v/>
      </c>
      <c r="P44" s="8" t="str">
        <f aca="false">IF(J44="","",IF(AND(J44&gt;=Settings!$B$11,OR(O44="",O44&gt;=Settings!$B$12)),"Promoted",IF(J44&lt;Settings!$B$11,IF(AND(O44&lt;&gt;"",O44&lt;Settings!$B$12),"At Risk - Academic &amp; Attendance","At Risk - Academic"),"At Risk - Attendance")))</f>
        <v/>
      </c>
      <c r="Q44" s="36" t="str">
        <f aca="false">IF(J44="","",L44+COUNTIF($J$5:J43,J44))</f>
        <v/>
      </c>
    </row>
    <row r="45" customFormat="false" ht="15" hidden="false" customHeight="false" outlineLevel="0" collapsed="false">
      <c r="A45" s="25" t="str">
        <f aca="false">IF(Students!A45="","",Students!A45)</f>
        <v/>
      </c>
      <c r="B45" s="26" t="str">
        <f aca="false">IF(Students!A45="","",Students!B45)</f>
        <v/>
      </c>
      <c r="C45" s="33" t="str">
        <f aca="false">IF(OR($A45="",Scores!C45="",Scores!D45=""),"",ROUND(Scores!C45*Settings!$B$13+Scores!D45*Settings!$B$14,1))</f>
        <v/>
      </c>
      <c r="D45" s="33" t="str">
        <f aca="false">IF(OR($A45="",Scores!E45="",Scores!F45=""),"",ROUND(Scores!E45*Settings!$B$13+Scores!F45*Settings!$B$14,1))</f>
        <v/>
      </c>
      <c r="E45" s="33" t="str">
        <f aca="false">IF(OR($A45="",Scores!G45="",Scores!H45=""),"",ROUND(Scores!G45*Settings!$B$13+Scores!H45*Settings!$B$14,1))</f>
        <v/>
      </c>
      <c r="F45" s="33" t="str">
        <f aca="false">IF(OR($A45="",Scores!I45="",Scores!J45=""),"",ROUND(Scores!I45*Settings!$B$13+Scores!J45*Settings!$B$14,1))</f>
        <v/>
      </c>
      <c r="G45" s="33" t="str">
        <f aca="false">IF(OR($A45="",Scores!K45="",Scores!L45=""),"",ROUND(Scores!K45*Settings!$B$13+Scores!L45*Settings!$B$14,1))</f>
        <v/>
      </c>
      <c r="H45" s="33" t="str">
        <f aca="false">IF(OR($A45="",Scores!M45="",Scores!N45=""),"",ROUND(Scores!M45*Settings!$B$13+Scores!N45*Settings!$B$14,1))</f>
        <v/>
      </c>
      <c r="I45" s="33" t="str">
        <f aca="false">IF(COUNT(C45:H45)=0,"",SUM(C45:H45))</f>
        <v/>
      </c>
      <c r="J45" s="34" t="str">
        <f aca="false">IF(COUNT(C45:H45)=0,"",ROUND(AVERAGE(C45:H45),1))</f>
        <v/>
      </c>
      <c r="K45" s="35" t="str">
        <f aca="false">IF(J45="","",INDEX(Settings!$B$28:$B$33,MATCH(J45,Settings!$A$28:$A$33,1)))</f>
        <v/>
      </c>
      <c r="L45" s="28" t="str">
        <f aca="false">IF(J45="","",RANK(J45,$J$6:$J$45,0))</f>
        <v/>
      </c>
      <c r="M45" s="17" t="str">
        <f aca="false">IF(L45="","",L45&amp;IF(AND(MOD(L45,100)&gt;=11,MOD(L45,100)&lt;=13),"th",CHOOSE(MOD(L45,10)+1,"th","st","nd","rd","th","th","th","th","th","th")))</f>
        <v/>
      </c>
      <c r="N45" s="29" t="str">
        <f aca="false">IF(J45="","",COUNTIF(C45:H45,"&gt;="&amp;Settings!$B$11))</f>
        <v/>
      </c>
      <c r="O45" s="30" t="str">
        <f aca="false">IF(Attendance!F45="","",Attendance!F45)</f>
        <v/>
      </c>
      <c r="P45" s="8" t="str">
        <f aca="false">IF(J45="","",IF(AND(J45&gt;=Settings!$B$11,OR(O45="",O45&gt;=Settings!$B$12)),"Promoted",IF(J45&lt;Settings!$B$11,IF(AND(O45&lt;&gt;"",O45&lt;Settings!$B$12),"At Risk - Academic &amp; Attendance","At Risk - Academic"),"At Risk - Attendance")))</f>
        <v/>
      </c>
      <c r="Q45" s="36" t="str">
        <f aca="false">IF(J45="","",L45+COUNTIF($J$5:J44,J45))</f>
        <v/>
      </c>
    </row>
    <row r="46" customFormat="false" ht="15" hidden="false" customHeight="fals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customFormat="false" ht="15" hidden="false" customHeight="false" outlineLevel="0" collapsed="false">
      <c r="A47" s="3"/>
      <c r="B47" s="37" t="s">
        <v>187</v>
      </c>
      <c r="C47" s="38" t="n">
        <f aca="false">IFERROR(ROUND(AVERAGE(C6:C45),1),"")</f>
        <v>62.1</v>
      </c>
      <c r="D47" s="38" t="n">
        <f aca="false">IFERROR(ROUND(AVERAGE(D6:D45),1),"")</f>
        <v>63.2</v>
      </c>
      <c r="E47" s="38" t="n">
        <f aca="false">IFERROR(ROUND(AVERAGE(E6:E45),1),"")</f>
        <v>61.8</v>
      </c>
      <c r="F47" s="38" t="n">
        <f aca="false">IFERROR(ROUND(AVERAGE(F6:F45),1),"")</f>
        <v>62.3</v>
      </c>
      <c r="G47" s="38" t="n">
        <f aca="false">IFERROR(ROUND(AVERAGE(G6:G45),1),"")</f>
        <v>61.4</v>
      </c>
      <c r="H47" s="38" t="n">
        <f aca="false">IFERROR(ROUND(AVERAGE(H6:H45),1),"")</f>
        <v>62.4</v>
      </c>
      <c r="I47" s="38" t="n">
        <f aca="false">IFERROR(ROUND(AVERAGE(I6:I45),1),"")</f>
        <v>373.1</v>
      </c>
      <c r="J47" s="38" t="n">
        <f aca="false">IFERROR(ROUND(AVERAGE(J6:J45),1),"")</f>
        <v>62.2</v>
      </c>
      <c r="K47" s="3"/>
      <c r="L47" s="3"/>
      <c r="M47" s="3"/>
      <c r="N47" s="3"/>
      <c r="O47" s="3"/>
      <c r="P47" s="3"/>
      <c r="Q47" s="3"/>
    </row>
    <row r="48" customFormat="false" ht="15" hidden="false" customHeight="false" outlineLevel="0" collapsed="false">
      <c r="A48" s="3"/>
      <c r="B48" s="37" t="s">
        <v>188</v>
      </c>
      <c r="C48" s="38" t="n">
        <f aca="false">IF(COUNT(C6:C45)=0,"",MAX(C6:C45))</f>
        <v>85.2</v>
      </c>
      <c r="D48" s="38" t="n">
        <f aca="false">IF(COUNT(D6:D45)=0,"",MAX(D6:D45))</f>
        <v>83.2</v>
      </c>
      <c r="E48" s="38" t="n">
        <f aca="false">IF(COUNT(E6:E45)=0,"",MAX(E6:E45))</f>
        <v>88.2</v>
      </c>
      <c r="F48" s="38" t="n">
        <f aca="false">IF(COUNT(F6:F45)=0,"",MAX(F6:F45))</f>
        <v>84.2</v>
      </c>
      <c r="G48" s="38" t="n">
        <f aca="false">IF(COUNT(G6:G45)=0,"",MAX(G6:G45))</f>
        <v>83.6</v>
      </c>
      <c r="H48" s="38" t="n">
        <f aca="false">IF(COUNT(H6:H45)=0,"",MAX(H6:H45))</f>
        <v>80.8</v>
      </c>
      <c r="I48" s="38" t="n">
        <f aca="false">IF(COUNT(I6:I45)=0,"",MAX(I6:I45))</f>
        <v>497.2</v>
      </c>
      <c r="J48" s="38" t="n">
        <f aca="false">IF(COUNT(J6:J45)=0,"",MAX(J6:J45))</f>
        <v>82.9</v>
      </c>
      <c r="K48" s="3"/>
      <c r="L48" s="3"/>
      <c r="M48" s="3"/>
      <c r="N48" s="3"/>
      <c r="O48" s="3"/>
      <c r="P48" s="3"/>
      <c r="Q48" s="3"/>
    </row>
    <row r="49" customFormat="false" ht="15" hidden="false" customHeight="false" outlineLevel="0" collapsed="false">
      <c r="A49" s="3"/>
      <c r="B49" s="37" t="s">
        <v>189</v>
      </c>
      <c r="C49" s="38" t="n">
        <f aca="false">IF(COUNT(C6:C45)=0,"",MIN(C6:C45))</f>
        <v>37.4</v>
      </c>
      <c r="D49" s="38" t="n">
        <f aca="false">IF(COUNT(D6:D45)=0,"",MIN(D6:D45))</f>
        <v>38.4</v>
      </c>
      <c r="E49" s="38" t="n">
        <f aca="false">IF(COUNT(E6:E45)=0,"",MIN(E6:E45))</f>
        <v>30.2</v>
      </c>
      <c r="F49" s="38" t="n">
        <f aca="false">IF(COUNT(F6:F45)=0,"",MIN(F6:F45))</f>
        <v>33.2</v>
      </c>
      <c r="G49" s="38" t="n">
        <f aca="false">IF(COUNT(G6:G45)=0,"",MIN(G6:G45))</f>
        <v>32.2</v>
      </c>
      <c r="H49" s="38" t="n">
        <f aca="false">IF(COUNT(H6:H45)=0,"",MIN(H6:H45))</f>
        <v>31</v>
      </c>
      <c r="I49" s="38" t="n">
        <f aca="false">IF(COUNT(I6:I45)=0,"",MIN(I6:I45))</f>
        <v>202.4</v>
      </c>
      <c r="J49" s="38" t="n">
        <f aca="false">IF(COUNT(J6:J45)=0,"",MIN(J6:J45))</f>
        <v>33.7</v>
      </c>
      <c r="K49" s="3"/>
      <c r="L49" s="3"/>
      <c r="M49" s="3"/>
      <c r="N49" s="3"/>
      <c r="O49" s="3"/>
      <c r="P49" s="3"/>
      <c r="Q49" s="3"/>
    </row>
  </sheetData>
  <mergeCells count="4">
    <mergeCell ref="A1:Q1"/>
    <mergeCell ref="A2:Q2"/>
    <mergeCell ref="C4:H4"/>
    <mergeCell ref="I4:P4"/>
  </mergeCells>
  <conditionalFormatting sqref="C6:H45">
    <cfRule type="expression" priority="2" aboveAverage="0" equalAverage="0" bottom="0" percent="0" rank="0" text="" dxfId="0">
      <formula>AND(ISNUMBER(C6),C6&lt;Settings!$B$11)</formula>
    </cfRule>
    <cfRule type="expression" priority="3" aboveAverage="0" equalAverage="0" bottom="0" percent="0" rank="0" text="" dxfId="1">
      <formula>AND(ISNUMBER(C6),C6&gt;=Settings!$A$33)</formula>
    </cfRule>
  </conditionalFormatting>
  <conditionalFormatting sqref="J6:K45">
    <cfRule type="expression" priority="4" aboveAverage="0" equalAverage="0" bottom="0" percent="0" rank="0" text="" dxfId="0">
      <formula>AND(ISNUMBER($J6),$J6&lt;Settings!$B$11)</formula>
    </cfRule>
  </conditionalFormatting>
  <conditionalFormatting sqref="O6:O45">
    <cfRule type="expression" priority="5" aboveAverage="0" equalAverage="0" bottom="0" percent="0" rank="0" text="" dxfId="0">
      <formula>AND(ISNUMBER(O6),O6&lt;Settings!$B$12)</formula>
    </cfRule>
  </conditionalFormatting>
  <conditionalFormatting sqref="P6:P45">
    <cfRule type="expression" priority="6" aboveAverage="0" equalAverage="0" bottom="0" percent="0" rank="0" text="" dxfId="2">
      <formula>LEFT($P6,7)="At Risk"</formula>
    </cfRule>
    <cfRule type="expression" priority="7" aboveAverage="0" equalAverage="0" bottom="0" percent="0" rank="0" text="" dxfId="1">
      <formula>$P6="Promoted"</formula>
    </cfRule>
  </conditionalFormatting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N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7" min="3" style="0" width="11"/>
    <col collapsed="false" customWidth="true" hidden="false" outlineLevel="0" max="8" min="8" style="0" width="22"/>
    <col collapsed="false" customWidth="true" hidden="false" outlineLevel="0" max="14" min="9" style="0" width="8"/>
  </cols>
  <sheetData>
    <row r="1" customFormat="false" ht="30" hidden="false" customHeight="true" outlineLevel="0" collapsed="false">
      <c r="A1" s="1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191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19.5" hidden="false" customHeight="true" outlineLevel="0" collapsed="false">
      <c r="A4" s="31" t="s">
        <v>192</v>
      </c>
      <c r="B4" s="31"/>
      <c r="C4" s="31"/>
      <c r="D4" s="31"/>
      <c r="E4" s="31"/>
      <c r="F4" s="31"/>
      <c r="G4" s="31"/>
      <c r="H4" s="31"/>
      <c r="I4" s="4" t="s">
        <v>193</v>
      </c>
      <c r="J4" s="4"/>
      <c r="K4" s="4"/>
      <c r="L4" s="4"/>
      <c r="M4" s="4"/>
      <c r="N4" s="4"/>
    </row>
    <row r="5" customFormat="false" ht="33.75" hidden="false" customHeight="true" outlineLevel="0" collapsed="false">
      <c r="A5" s="16" t="s">
        <v>86</v>
      </c>
      <c r="B5" s="16" t="s">
        <v>194</v>
      </c>
      <c r="C5" s="16" t="s">
        <v>195</v>
      </c>
      <c r="D5" s="16" t="s">
        <v>187</v>
      </c>
      <c r="E5" s="16" t="s">
        <v>188</v>
      </c>
      <c r="F5" s="16" t="s">
        <v>189</v>
      </c>
      <c r="G5" s="16" t="s">
        <v>196</v>
      </c>
      <c r="H5" s="16" t="s">
        <v>197</v>
      </c>
      <c r="I5" s="39" t="str">
        <f aca="false">Settings!$B$33</f>
        <v>A</v>
      </c>
      <c r="J5" s="39" t="str">
        <f aca="false">Settings!$B$32</f>
        <v>B</v>
      </c>
      <c r="K5" s="39" t="str">
        <f aca="false">Settings!$B$31</f>
        <v>C</v>
      </c>
      <c r="L5" s="39" t="str">
        <f aca="false">Settings!$B$30</f>
        <v>D</v>
      </c>
      <c r="M5" s="39" t="str">
        <f aca="false">Settings!$B$29</f>
        <v>E</v>
      </c>
      <c r="N5" s="39" t="str">
        <f aca="false">Settings!$B$28</f>
        <v>F</v>
      </c>
    </row>
    <row r="6" customFormat="false" ht="15" hidden="false" customHeight="false" outlineLevel="0" collapsed="false">
      <c r="A6" s="40" t="str">
        <f aca="false">IF(Settings!$B$19="","",Settings!$B$19)</f>
        <v>Mathematics</v>
      </c>
      <c r="B6" s="8" t="str">
        <f aca="false">IF(Settings!$C$19="","",Settings!$C$19)</f>
        <v>Mr. Davies</v>
      </c>
      <c r="C6" s="29" t="n">
        <f aca="false">COUNT(Results!C$6:C$45)</f>
        <v>12</v>
      </c>
      <c r="D6" s="34" t="n">
        <f aca="false">IFERROR(ROUND(AVERAGE(Results!C$6:C$45),1),"")</f>
        <v>62.1</v>
      </c>
      <c r="E6" s="33" t="n">
        <f aca="false">IF(C6=0,"",MAX(Results!C$6:C$45))</f>
        <v>85.2</v>
      </c>
      <c r="F6" s="33" t="n">
        <f aca="false">IF(C6=0,"",MIN(Results!C$6:C$45))</f>
        <v>37.4</v>
      </c>
      <c r="G6" s="41" t="n">
        <f aca="false">IF(C6=0,"",COUNTIF(Results!C$6:C$45,"&gt;="&amp;Settings!$B$11)/C6)</f>
        <v>0.75</v>
      </c>
      <c r="H6" s="8" t="str">
        <f aca="false">IF(C6=0,"",INDEX(Results!$B$6:$B$45,MATCH(E6,Results!C$6:C$45,0)))</f>
        <v>Noah Williams</v>
      </c>
      <c r="I6" s="29" t="n">
        <f aca="false">COUNTIF(Results!C$6:C$45,"&gt;="&amp;Settings!$A$33)</f>
        <v>2</v>
      </c>
      <c r="J6" s="29" t="n">
        <f aca="false">COUNTIFS(Results!C$6:C$45,"&gt;="&amp;Settings!$A$32,Results!C$6:C$45,"&lt;"&amp;Settings!$A$33)</f>
        <v>1</v>
      </c>
      <c r="K6" s="29" t="n">
        <f aca="false">COUNTIFS(Results!C$6:C$45,"&gt;="&amp;Settings!$A$31,Results!C$6:C$45,"&lt;"&amp;Settings!$A$32)</f>
        <v>5</v>
      </c>
      <c r="L6" s="29" t="n">
        <f aca="false">COUNTIFS(Results!C$6:C$45,"&gt;="&amp;Settings!$A$30,Results!C$6:C$45,"&lt;"&amp;Settings!$A$31)</f>
        <v>1</v>
      </c>
      <c r="M6" s="29" t="n">
        <f aca="false">COUNTIFS(Results!C$6:C$45,"&gt;="&amp;Settings!$A$29,Results!C$6:C$45,"&lt;"&amp;Settings!$A$30)</f>
        <v>2</v>
      </c>
      <c r="N6" s="29" t="n">
        <f aca="false">COUNTIFS(Results!C$6:C$45,"&gt;="&amp;Settings!$A$28,Results!C$6:C$45,"&lt;"&amp;Settings!$A$29)</f>
        <v>1</v>
      </c>
    </row>
    <row r="7" customFormat="false" ht="15" hidden="false" customHeight="false" outlineLevel="0" collapsed="false">
      <c r="A7" s="40" t="str">
        <f aca="false">IF(Settings!$B$20="","",Settings!$B$20)</f>
        <v>English Language</v>
      </c>
      <c r="B7" s="8" t="str">
        <f aca="false">IF(Settings!$C$20="","",Settings!$C$20)</f>
        <v>Ms. Hughes</v>
      </c>
      <c r="C7" s="29" t="n">
        <f aca="false">COUNT(Results!D$6:D$45)</f>
        <v>12</v>
      </c>
      <c r="D7" s="34" t="n">
        <f aca="false">IFERROR(ROUND(AVERAGE(Results!D$6:D$45),1),"")</f>
        <v>63.2</v>
      </c>
      <c r="E7" s="33" t="n">
        <f aca="false">IF(C7=0,"",MAX(Results!D$6:D$45))</f>
        <v>83.2</v>
      </c>
      <c r="F7" s="33" t="n">
        <f aca="false">IF(C7=0,"",MIN(Results!D$6:D$45))</f>
        <v>38.4</v>
      </c>
      <c r="G7" s="41" t="n">
        <f aca="false">IF(C7=0,"",COUNTIF(Results!D$6:D$45,"&gt;="&amp;Settings!$B$11)/C7)</f>
        <v>0.833333333333333</v>
      </c>
      <c r="H7" s="8" t="str">
        <f aca="false">IF(C7=0,"",INDEX(Results!$B$6:$B$45,MATCH(E7,Results!D$6:D$45,0)))</f>
        <v>Ava Thompson</v>
      </c>
      <c r="I7" s="29" t="n">
        <f aca="false">COUNTIF(Results!D$6:D$45,"&gt;="&amp;Settings!$A$33)</f>
        <v>1</v>
      </c>
      <c r="J7" s="29" t="n">
        <f aca="false">COUNTIFS(Results!D$6:D$45,"&gt;="&amp;Settings!$A$32,Results!D$6:D$45,"&lt;"&amp;Settings!$A$33)</f>
        <v>4</v>
      </c>
      <c r="K7" s="29" t="n">
        <f aca="false">COUNTIFS(Results!D$6:D$45,"&gt;="&amp;Settings!$A$31,Results!D$6:D$45,"&lt;"&amp;Settings!$A$32)</f>
        <v>2</v>
      </c>
      <c r="L7" s="29" t="n">
        <f aca="false">COUNTIFS(Results!D$6:D$45,"&gt;="&amp;Settings!$A$30,Results!D$6:D$45,"&lt;"&amp;Settings!$A$31)</f>
        <v>3</v>
      </c>
      <c r="M7" s="29" t="n">
        <f aca="false">COUNTIFS(Results!D$6:D$45,"&gt;="&amp;Settings!$A$29,Results!D$6:D$45,"&lt;"&amp;Settings!$A$30)</f>
        <v>1</v>
      </c>
      <c r="N7" s="29" t="n">
        <f aca="false">COUNTIFS(Results!D$6:D$45,"&gt;="&amp;Settings!$A$28,Results!D$6:D$45,"&lt;"&amp;Settings!$A$29)</f>
        <v>1</v>
      </c>
    </row>
    <row r="8" customFormat="false" ht="15" hidden="false" customHeight="false" outlineLevel="0" collapsed="false">
      <c r="A8" s="40" t="str">
        <f aca="false">IF(Settings!$B$21="","",Settings!$B$21)</f>
        <v>Science</v>
      </c>
      <c r="B8" s="8" t="str">
        <f aca="false">IF(Settings!$C$21="","",Settings!$C$21)</f>
        <v>Dr. Okoye</v>
      </c>
      <c r="C8" s="29" t="n">
        <f aca="false">COUNT(Results!E$6:E$45)</f>
        <v>12</v>
      </c>
      <c r="D8" s="34" t="n">
        <f aca="false">IFERROR(ROUND(AVERAGE(Results!E$6:E$45),1),"")</f>
        <v>61.8</v>
      </c>
      <c r="E8" s="33" t="n">
        <f aca="false">IF(C8=0,"",MAX(Results!E$6:E$45))</f>
        <v>88.2</v>
      </c>
      <c r="F8" s="33" t="n">
        <f aca="false">IF(C8=0,"",MIN(Results!E$6:E$45))</f>
        <v>30.2</v>
      </c>
      <c r="G8" s="41" t="n">
        <f aca="false">IF(C8=0,"",COUNTIF(Results!E$6:E$45,"&gt;="&amp;Settings!$B$11)/C8)</f>
        <v>0.75</v>
      </c>
      <c r="H8" s="8" t="str">
        <f aca="false">IF(C8=0,"",INDEX(Results!$B$6:$B$45,MATCH(E8,Results!E$6:E$45,0)))</f>
        <v>Noah Williams</v>
      </c>
      <c r="I8" s="29" t="n">
        <f aca="false">COUNTIF(Results!E$6:E$45,"&gt;="&amp;Settings!$A$33)</f>
        <v>2</v>
      </c>
      <c r="J8" s="29" t="n">
        <f aca="false">COUNTIFS(Results!E$6:E$45,"&gt;="&amp;Settings!$A$32,Results!E$6:E$45,"&lt;"&amp;Settings!$A$33)</f>
        <v>1</v>
      </c>
      <c r="K8" s="29" t="n">
        <f aca="false">COUNTIFS(Results!E$6:E$45,"&gt;="&amp;Settings!$A$31,Results!E$6:E$45,"&lt;"&amp;Settings!$A$32)</f>
        <v>4</v>
      </c>
      <c r="L8" s="29" t="n">
        <f aca="false">COUNTIFS(Results!E$6:E$45,"&gt;="&amp;Settings!$A$30,Results!E$6:E$45,"&lt;"&amp;Settings!$A$31)</f>
        <v>2</v>
      </c>
      <c r="M8" s="29" t="n">
        <f aca="false">COUNTIFS(Results!E$6:E$45,"&gt;="&amp;Settings!$A$29,Results!E$6:E$45,"&lt;"&amp;Settings!$A$30)</f>
        <v>2</v>
      </c>
      <c r="N8" s="29" t="n">
        <f aca="false">COUNTIFS(Results!E$6:E$45,"&gt;="&amp;Settings!$A$28,Results!E$6:E$45,"&lt;"&amp;Settings!$A$29)</f>
        <v>1</v>
      </c>
    </row>
    <row r="9" customFormat="false" ht="15" hidden="false" customHeight="false" outlineLevel="0" collapsed="false">
      <c r="A9" s="40" t="str">
        <f aca="false">IF(Settings!$B$22="","",Settings!$B$22)</f>
        <v>Social Studies</v>
      </c>
      <c r="B9" s="8" t="str">
        <f aca="false">IF(Settings!$C$22="","",Settings!$C$22)</f>
        <v>Ms. Bennett</v>
      </c>
      <c r="C9" s="29" t="n">
        <f aca="false">COUNT(Results!F$6:F$45)</f>
        <v>12</v>
      </c>
      <c r="D9" s="34" t="n">
        <f aca="false">IFERROR(ROUND(AVERAGE(Results!F$6:F$45),1),"")</f>
        <v>62.3</v>
      </c>
      <c r="E9" s="33" t="n">
        <f aca="false">IF(C9=0,"",MAX(Results!F$6:F$45))</f>
        <v>84.2</v>
      </c>
      <c r="F9" s="33" t="n">
        <f aca="false">IF(C9=0,"",MIN(Results!F$6:F$45))</f>
        <v>33.2</v>
      </c>
      <c r="G9" s="41" t="n">
        <f aca="false">IF(C9=0,"",COUNTIF(Results!F$6:F$45,"&gt;="&amp;Settings!$B$11)/C9)</f>
        <v>0.75</v>
      </c>
      <c r="H9" s="8" t="str">
        <f aca="false">IF(C9=0,"",INDEX(Results!$B$6:$B$45,MATCH(E9,Results!F$6:F$45,0)))</f>
        <v>Ava Thompson</v>
      </c>
      <c r="I9" s="29" t="n">
        <f aca="false">COUNTIF(Results!F$6:F$45,"&gt;="&amp;Settings!$A$33)</f>
        <v>2</v>
      </c>
      <c r="J9" s="29" t="n">
        <f aca="false">COUNTIFS(Results!F$6:F$45,"&gt;="&amp;Settings!$A$32,Results!F$6:F$45,"&lt;"&amp;Settings!$A$33)</f>
        <v>2</v>
      </c>
      <c r="K9" s="29" t="n">
        <f aca="false">COUNTIFS(Results!F$6:F$45,"&gt;="&amp;Settings!$A$31,Results!F$6:F$45,"&lt;"&amp;Settings!$A$32)</f>
        <v>3</v>
      </c>
      <c r="L9" s="29" t="n">
        <f aca="false">COUNTIFS(Results!F$6:F$45,"&gt;="&amp;Settings!$A$30,Results!F$6:F$45,"&lt;"&amp;Settings!$A$31)</f>
        <v>2</v>
      </c>
      <c r="M9" s="29" t="n">
        <f aca="false">COUNTIFS(Results!F$6:F$45,"&gt;="&amp;Settings!$A$29,Results!F$6:F$45,"&lt;"&amp;Settings!$A$30)</f>
        <v>2</v>
      </c>
      <c r="N9" s="29" t="n">
        <f aca="false">COUNTIFS(Results!F$6:F$45,"&gt;="&amp;Settings!$A$28,Results!F$6:F$45,"&lt;"&amp;Settings!$A$29)</f>
        <v>1</v>
      </c>
    </row>
    <row r="10" customFormat="false" ht="15" hidden="false" customHeight="false" outlineLevel="0" collapsed="false">
      <c r="A10" s="40" t="str">
        <f aca="false">IF(Settings!$B$23="","",Settings!$B$23)</f>
        <v>ICT</v>
      </c>
      <c r="B10" s="8" t="str">
        <f aca="false">IF(Settings!$C$23="","",Settings!$C$23)</f>
        <v>Mr. Tran</v>
      </c>
      <c r="C10" s="29" t="n">
        <f aca="false">COUNT(Results!G$6:G$45)</f>
        <v>12</v>
      </c>
      <c r="D10" s="34" t="n">
        <f aca="false">IFERROR(ROUND(AVERAGE(Results!G$6:G$45),1),"")</f>
        <v>61.4</v>
      </c>
      <c r="E10" s="33" t="n">
        <f aca="false">IF(C10=0,"",MAX(Results!G$6:G$45))</f>
        <v>83.6</v>
      </c>
      <c r="F10" s="33" t="n">
        <f aca="false">IF(C10=0,"",MIN(Results!G$6:G$45))</f>
        <v>32.2</v>
      </c>
      <c r="G10" s="41" t="n">
        <f aca="false">IF(C10=0,"",COUNTIF(Results!G$6:G$45,"&gt;="&amp;Settings!$B$11)/C10)</f>
        <v>0.833333333333333</v>
      </c>
      <c r="H10" s="8" t="str">
        <f aca="false">IF(C10=0,"",INDEX(Results!$B$6:$B$45,MATCH(E10,Results!G$6:G$45,0)))</f>
        <v>Ava Thompson</v>
      </c>
      <c r="I10" s="29" t="n">
        <f aca="false">COUNTIF(Results!G$6:G$45,"&gt;="&amp;Settings!$A$33)</f>
        <v>1</v>
      </c>
      <c r="J10" s="29" t="n">
        <f aca="false">COUNTIFS(Results!G$6:G$45,"&gt;="&amp;Settings!$A$32,Results!G$6:G$45,"&lt;"&amp;Settings!$A$33)</f>
        <v>1</v>
      </c>
      <c r="K10" s="29" t="n">
        <f aca="false">COUNTIFS(Results!G$6:G$45,"&gt;="&amp;Settings!$A$31,Results!G$6:G$45,"&lt;"&amp;Settings!$A$32)</f>
        <v>6</v>
      </c>
      <c r="L10" s="29" t="n">
        <f aca="false">COUNTIFS(Results!G$6:G$45,"&gt;="&amp;Settings!$A$30,Results!G$6:G$45,"&lt;"&amp;Settings!$A$31)</f>
        <v>2</v>
      </c>
      <c r="M10" s="29" t="n">
        <f aca="false">COUNTIFS(Results!G$6:G$45,"&gt;="&amp;Settings!$A$29,Results!G$6:G$45,"&lt;"&amp;Settings!$A$30)</f>
        <v>1</v>
      </c>
      <c r="N10" s="29" t="n">
        <f aca="false">COUNTIFS(Results!G$6:G$45,"&gt;="&amp;Settings!$A$28,Results!G$6:G$45,"&lt;"&amp;Settings!$A$29)</f>
        <v>1</v>
      </c>
    </row>
    <row r="11" customFormat="false" ht="15" hidden="false" customHeight="false" outlineLevel="0" collapsed="false">
      <c r="A11" s="40" t="str">
        <f aca="false">IF(Settings!$B$24="","",Settings!$B$24)</f>
        <v>Creative Arts</v>
      </c>
      <c r="B11" s="8" t="str">
        <f aca="false">IF(Settings!$C$24="","",Settings!$C$24)</f>
        <v>Ms. Alvarez</v>
      </c>
      <c r="C11" s="29" t="n">
        <f aca="false">COUNT(Results!H$6:H$45)</f>
        <v>12</v>
      </c>
      <c r="D11" s="34" t="n">
        <f aca="false">IFERROR(ROUND(AVERAGE(Results!H$6:H$45),1),"")</f>
        <v>62.4</v>
      </c>
      <c r="E11" s="33" t="n">
        <f aca="false">IF(C11=0,"",MAX(Results!H$6:H$45))</f>
        <v>80.8</v>
      </c>
      <c r="F11" s="33" t="n">
        <f aca="false">IF(C11=0,"",MIN(Results!H$6:H$45))</f>
        <v>31</v>
      </c>
      <c r="G11" s="41" t="n">
        <f aca="false">IF(C11=0,"",COUNTIF(Results!H$6:H$45,"&gt;="&amp;Settings!$B$11)/C11)</f>
        <v>0.833333333333333</v>
      </c>
      <c r="H11" s="8" t="str">
        <f aca="false">IF(C11=0,"",INDEX(Results!$B$6:$B$45,MATCH(E11,Results!H$6:H$45,0)))</f>
        <v>Noah Williams</v>
      </c>
      <c r="I11" s="29" t="n">
        <f aca="false">COUNTIF(Results!H$6:H$45,"&gt;="&amp;Settings!$A$33)</f>
        <v>1</v>
      </c>
      <c r="J11" s="29" t="n">
        <f aca="false">COUNTIFS(Results!H$6:H$45,"&gt;="&amp;Settings!$A$32,Results!H$6:H$45,"&lt;"&amp;Settings!$A$33)</f>
        <v>3</v>
      </c>
      <c r="K11" s="29" t="n">
        <f aca="false">COUNTIFS(Results!H$6:H$45,"&gt;="&amp;Settings!$A$31,Results!H$6:H$45,"&lt;"&amp;Settings!$A$32)</f>
        <v>3</v>
      </c>
      <c r="L11" s="29" t="n">
        <f aca="false">COUNTIFS(Results!H$6:H$45,"&gt;="&amp;Settings!$A$30,Results!H$6:H$45,"&lt;"&amp;Settings!$A$31)</f>
        <v>3</v>
      </c>
      <c r="M11" s="29" t="n">
        <f aca="false">COUNTIFS(Results!H$6:H$45,"&gt;="&amp;Settings!$A$29,Results!H$6:H$45,"&lt;"&amp;Settings!$A$30)</f>
        <v>1</v>
      </c>
      <c r="N11" s="29" t="n">
        <f aca="false">COUNTIFS(Results!H$6:H$45,"&gt;="&amp;Settings!$A$28,Results!H$6:H$45,"&lt;"&amp;Settings!$A$29)</f>
        <v>1</v>
      </c>
    </row>
    <row r="12" customFormat="false" ht="15" hidden="false" customHeight="false" outlineLevel="0" collapsed="false">
      <c r="A12" s="37" t="s">
        <v>198</v>
      </c>
      <c r="B12" s="42"/>
      <c r="C12" s="42"/>
      <c r="D12" s="38" t="n">
        <f aca="false">IFERROR(ROUND(AVERAGE(D6:D11),1),"")</f>
        <v>62.2</v>
      </c>
      <c r="E12" s="42"/>
      <c r="F12" s="42"/>
      <c r="G12" s="42"/>
      <c r="H12" s="42"/>
      <c r="I12" s="43" t="n">
        <f aca="false">SUM(I6:I11)</f>
        <v>9</v>
      </c>
      <c r="J12" s="43" t="n">
        <f aca="false">SUM(J6:J11)</f>
        <v>12</v>
      </c>
      <c r="K12" s="43" t="n">
        <f aca="false">SUM(K6:K11)</f>
        <v>23</v>
      </c>
      <c r="L12" s="43" t="n">
        <f aca="false">SUM(L6:L11)</f>
        <v>13</v>
      </c>
      <c r="M12" s="43" t="n">
        <f aca="false">SUM(M6:M11)</f>
        <v>9</v>
      </c>
      <c r="N12" s="43" t="n">
        <f aca="false">SUM(N6:N11)</f>
        <v>6</v>
      </c>
    </row>
  </sheetData>
  <mergeCells count="4">
    <mergeCell ref="A1:N1"/>
    <mergeCell ref="A2:N2"/>
    <mergeCell ref="A4:H4"/>
    <mergeCell ref="I4:N4"/>
  </mergeCells>
  <conditionalFormatting sqref="D6:D11">
    <cfRule type="expression" priority="2" aboveAverage="0" equalAverage="0" bottom="0" percent="0" rank="0" text="" dxfId="0">
      <formula>AND(ISNUMBER(D6),D6&lt;Settings!$B$11)</formula>
    </cfRule>
  </conditionalFormatting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15"/>
  </cols>
  <sheetData>
    <row r="1" customFormat="false" ht="30" hidden="false" customHeight="true" outlineLevel="0" collapsed="false">
      <c r="A1" s="1" t="s">
        <v>199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tr">
        <f aca="false">Settings!B5&amp;"  |  "&amp;Settings!B8&amp;"  |  "&amp;Settings!B6&amp;"  |  "&amp;Settings!B7</f>
        <v>Greenfield Academy  |  Grade 8A  |  2026/2027  |  Term 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44" t="s">
        <v>200</v>
      </c>
      <c r="B4" s="44"/>
      <c r="C4" s="44" t="s">
        <v>201</v>
      </c>
      <c r="D4" s="44"/>
      <c r="E4" s="44" t="s">
        <v>202</v>
      </c>
      <c r="F4" s="44"/>
      <c r="G4" s="44" t="s">
        <v>203</v>
      </c>
      <c r="H4" s="44"/>
    </row>
    <row r="5" customFormat="false" ht="36" hidden="false" customHeight="true" outlineLevel="0" collapsed="false">
      <c r="A5" s="45" t="n">
        <f aca="false">COUNTA(Students!A6:A45)</f>
        <v>12</v>
      </c>
      <c r="B5" s="45"/>
      <c r="C5" s="46" t="n">
        <f aca="false">IFERROR(ROUND(AVERAGE(Results!J6:J45),1),"")</f>
        <v>62.2</v>
      </c>
      <c r="D5" s="46"/>
      <c r="E5" s="47" t="n">
        <f aca="false">IFERROR(COUNTIF(Results!J6:J45,"&gt;="&amp;Settings!B11)/COUNT(Results!J6:J45),"")</f>
        <v>0.75</v>
      </c>
      <c r="F5" s="47"/>
      <c r="G5" s="47" t="n">
        <f aca="false">IFERROR(AVERAGE(Attendance!F6:F45),"")</f>
        <v>0.898611111111111</v>
      </c>
      <c r="H5" s="47"/>
    </row>
    <row r="6" customFormat="false" ht="15" hidden="false" customHeight="false" outlineLevel="0" collapsed="false">
      <c r="A6" s="3"/>
      <c r="B6" s="3"/>
      <c r="C6" s="3"/>
      <c r="D6" s="3"/>
      <c r="E6" s="3"/>
      <c r="F6" s="3"/>
      <c r="G6" s="3"/>
      <c r="H6" s="3"/>
    </row>
    <row r="7" customFormat="false" ht="15" hidden="false" customHeight="false" outlineLevel="0" collapsed="false">
      <c r="A7" s="3"/>
      <c r="B7" s="3"/>
      <c r="C7" s="3"/>
      <c r="D7" s="3"/>
      <c r="E7" s="3"/>
      <c r="F7" s="3"/>
      <c r="G7" s="3"/>
      <c r="H7" s="3"/>
    </row>
    <row r="8" customFormat="false" ht="15" hidden="false" customHeight="false" outlineLevel="0" collapsed="false">
      <c r="A8" s="44" t="s">
        <v>204</v>
      </c>
      <c r="B8" s="44"/>
      <c r="C8" s="44" t="s">
        <v>205</v>
      </c>
      <c r="D8" s="44"/>
      <c r="E8" s="44" t="s">
        <v>206</v>
      </c>
      <c r="F8" s="44"/>
      <c r="G8" s="44" t="s">
        <v>207</v>
      </c>
      <c r="H8" s="44"/>
    </row>
    <row r="9" customFormat="false" ht="36" hidden="false" customHeight="true" outlineLevel="0" collapsed="false">
      <c r="A9" s="46" t="n">
        <f aca="false">IF(COUNT(Results!J6:J45)=0,"",MAX(Results!J6:J45))</f>
        <v>82.9</v>
      </c>
      <c r="B9" s="46"/>
      <c r="C9" s="46" t="n">
        <f aca="false">IF(COUNT(Results!J6:J45)=0,"",MIN(Results!J6:J45))</f>
        <v>33.7</v>
      </c>
      <c r="D9" s="46"/>
      <c r="E9" s="45" t="n">
        <f aca="false">COUNTIF(Results!P6:P45,"At Risk*")</f>
        <v>3</v>
      </c>
      <c r="F9" s="45"/>
      <c r="G9" s="45" t="n">
        <f aca="false">COUNTIF(Attendance!F6:F45,"&lt;"&amp;Settings!B12)</f>
        <v>1</v>
      </c>
      <c r="H9" s="45"/>
    </row>
    <row r="10" customFormat="false" ht="15" hidden="false" customHeight="false" outlineLevel="0" collapsed="false">
      <c r="A10" s="3"/>
      <c r="B10" s="3"/>
      <c r="C10" s="3"/>
      <c r="D10" s="3"/>
      <c r="E10" s="3"/>
      <c r="F10" s="3"/>
      <c r="G10" s="3"/>
      <c r="H10" s="3"/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</row>
    <row r="12" customFormat="false" ht="19.5" hidden="false" customHeight="true" outlineLevel="0" collapsed="false">
      <c r="A12" s="4" t="s">
        <v>208</v>
      </c>
      <c r="B12" s="4"/>
      <c r="C12" s="4"/>
      <c r="D12" s="4"/>
      <c r="E12" s="4"/>
      <c r="F12" s="4"/>
      <c r="G12" s="4"/>
      <c r="H12" s="4"/>
    </row>
    <row r="13" customFormat="false" ht="21.75" hidden="false" customHeight="true" outlineLevel="0" collapsed="false">
      <c r="A13" s="16" t="s">
        <v>183</v>
      </c>
      <c r="B13" s="16" t="s">
        <v>209</v>
      </c>
      <c r="C13" s="16"/>
      <c r="D13" s="16" t="s">
        <v>182</v>
      </c>
      <c r="E13" s="16" t="s">
        <v>102</v>
      </c>
      <c r="F13" s="16" t="s">
        <v>46</v>
      </c>
      <c r="G13" s="16" t="s">
        <v>35</v>
      </c>
      <c r="H13" s="16"/>
    </row>
    <row r="14" customFormat="false" ht="15" hidden="false" customHeight="false" outlineLevel="0" collapsed="false">
      <c r="A14" s="28" t="n">
        <v>1</v>
      </c>
      <c r="B14" s="8" t="str">
        <f aca="false">IFERROR(INDEX(Results!$B$6:$B$45,MATCH($A14,Results!$Q$6:$Q$45,0)),"")</f>
        <v>Ava Thompson</v>
      </c>
      <c r="C14" s="8"/>
      <c r="D14" s="34" t="n">
        <f aca="false">IFERROR(INDEX(Results!$J$6:$J$45,MATCH($A14,Results!$Q$6:$Q$45,0)),"")</f>
        <v>82.9</v>
      </c>
      <c r="E14" s="17" t="str">
        <f aca="false">IFERROR(INDEX(Results!$K$6:$K$45,MATCH($A14,Results!$Q$6:$Q$45,0)),"")</f>
        <v>A</v>
      </c>
      <c r="F14" s="30" t="n">
        <f aca="false">IFERROR(INDEX(Results!$O$6:$O$45,MATCH($A14,Results!$Q$6:$Q$45,0)),"")</f>
        <v>0.983333333333333</v>
      </c>
      <c r="G14" s="8" t="str">
        <f aca="false">IFERROR(INDEX(Results!$P$6:$P$45,MATCH($A14,Results!$Q$6:$Q$45,0)),"")</f>
        <v>Promoted</v>
      </c>
      <c r="H14" s="8"/>
    </row>
    <row r="15" customFormat="false" ht="15" hidden="false" customHeight="false" outlineLevel="0" collapsed="false">
      <c r="A15" s="28" t="n">
        <v>2</v>
      </c>
      <c r="B15" s="8" t="str">
        <f aca="false">IFERROR(INDEX(Results!$B$6:$B$45,MATCH($A15,Results!$Q$6:$Q$45,0)),"")</f>
        <v>Noah Williams</v>
      </c>
      <c r="C15" s="8"/>
      <c r="D15" s="34" t="n">
        <f aca="false">IFERROR(INDEX(Results!$J$6:$J$45,MATCH($A15,Results!$Q$6:$Q$45,0)),"")</f>
        <v>81.5</v>
      </c>
      <c r="E15" s="17" t="str">
        <f aca="false">IFERROR(INDEX(Results!$K$6:$K$45,MATCH($A15,Results!$Q$6:$Q$45,0)),"")</f>
        <v>A</v>
      </c>
      <c r="F15" s="30" t="n">
        <f aca="false">IFERROR(INDEX(Results!$O$6:$O$45,MATCH($A15,Results!$Q$6:$Q$45,0)),"")</f>
        <v>0.966666666666667</v>
      </c>
      <c r="G15" s="8" t="str">
        <f aca="false">IFERROR(INDEX(Results!$P$6:$P$45,MATCH($A15,Results!$Q$6:$Q$45,0)),"")</f>
        <v>Promoted</v>
      </c>
      <c r="H15" s="8"/>
    </row>
    <row r="16" customFormat="false" ht="15" hidden="false" customHeight="false" outlineLevel="0" collapsed="false">
      <c r="A16" s="28" t="n">
        <v>3</v>
      </c>
      <c r="B16" s="8" t="str">
        <f aca="false">IFERROR(INDEX(Results!$B$6:$B$45,MATCH($A16,Results!$Q$6:$Q$45,0)),"")</f>
        <v>Mia Hernandez</v>
      </c>
      <c r="C16" s="8"/>
      <c r="D16" s="34" t="n">
        <f aca="false">IFERROR(INDEX(Results!$J$6:$J$45,MATCH($A16,Results!$Q$6:$Q$45,0)),"")</f>
        <v>72.3</v>
      </c>
      <c r="E16" s="17" t="str">
        <f aca="false">IFERROR(INDEX(Results!$K$6:$K$45,MATCH($A16,Results!$Q$6:$Q$45,0)),"")</f>
        <v>B</v>
      </c>
      <c r="F16" s="30" t="n">
        <f aca="false">IFERROR(INDEX(Results!$O$6:$O$45,MATCH($A16,Results!$Q$6:$Q$45,0)),"")</f>
        <v>0.95</v>
      </c>
      <c r="G16" s="8" t="str">
        <f aca="false">IFERROR(INDEX(Results!$P$6:$P$45,MATCH($A16,Results!$Q$6:$Q$45,0)),"")</f>
        <v>Promoted</v>
      </c>
      <c r="H16" s="8"/>
    </row>
    <row r="17" customFormat="false" ht="15" hidden="false" customHeight="false" outlineLevel="0" collapsed="false">
      <c r="A17" s="28" t="n">
        <v>4</v>
      </c>
      <c r="B17" s="8" t="str">
        <f aca="false">IFERROR(INDEX(Results!$B$6:$B$45,MATCH($A17,Results!$Q$6:$Q$45,0)),"")</f>
        <v>Ethan Brown</v>
      </c>
      <c r="C17" s="8"/>
      <c r="D17" s="34" t="n">
        <f aca="false">IFERROR(INDEX(Results!$J$6:$J$45,MATCH($A17,Results!$Q$6:$Q$45,0)),"")</f>
        <v>71.3</v>
      </c>
      <c r="E17" s="17" t="str">
        <f aca="false">IFERROR(INDEX(Results!$K$6:$K$45,MATCH($A17,Results!$Q$6:$Q$45,0)),"")</f>
        <v>B</v>
      </c>
      <c r="F17" s="30" t="n">
        <f aca="false">IFERROR(INDEX(Results!$O$6:$O$45,MATCH($A17,Results!$Q$6:$Q$45,0)),"")</f>
        <v>1</v>
      </c>
      <c r="G17" s="8" t="str">
        <f aca="false">IFERROR(INDEX(Results!$P$6:$P$45,MATCH($A17,Results!$Q$6:$Q$45,0)),"")</f>
        <v>Promoted</v>
      </c>
      <c r="H17" s="8"/>
    </row>
    <row r="18" customFormat="false" ht="15" hidden="false" customHeight="false" outlineLevel="0" collapsed="false">
      <c r="A18" s="28" t="n">
        <v>5</v>
      </c>
      <c r="B18" s="8" t="str">
        <f aca="false">IFERROR(INDEX(Results!$B$6:$B$45,MATCH($A18,Results!$Q$6:$Q$45,0)),"")</f>
        <v>Samuel Lee</v>
      </c>
      <c r="C18" s="8"/>
      <c r="D18" s="34" t="n">
        <f aca="false">IFERROR(INDEX(Results!$J$6:$J$45,MATCH($A18,Results!$Q$6:$Q$45,0)),"")</f>
        <v>68.2</v>
      </c>
      <c r="E18" s="17" t="str">
        <f aca="false">IFERROR(INDEX(Results!$K$6:$K$45,MATCH($A18,Results!$Q$6:$Q$45,0)),"")</f>
        <v>C</v>
      </c>
      <c r="F18" s="30" t="n">
        <f aca="false">IFERROR(INDEX(Results!$O$6:$O$45,MATCH($A18,Results!$Q$6:$Q$45,0)),"")</f>
        <v>0.95</v>
      </c>
      <c r="G18" s="8" t="str">
        <f aca="false">IFERROR(INDEX(Results!$P$6:$P$45,MATCH($A18,Results!$Q$6:$Q$45,0)),"")</f>
        <v>Promoted</v>
      </c>
      <c r="H18" s="8"/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  <c r="G19" s="3"/>
      <c r="H19" s="3"/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  <c r="G20" s="3"/>
      <c r="H20" s="3"/>
    </row>
    <row r="21" customFormat="false" ht="19.5" hidden="false" customHeight="true" outlineLevel="0" collapsed="false">
      <c r="A21" s="4" t="s">
        <v>210</v>
      </c>
      <c r="B21" s="4"/>
      <c r="C21" s="4"/>
      <c r="D21" s="3"/>
      <c r="E21" s="4" t="s">
        <v>211</v>
      </c>
      <c r="F21" s="4"/>
      <c r="G21" s="4"/>
      <c r="H21" s="4"/>
    </row>
    <row r="22" customFormat="false" ht="19.5" hidden="false" customHeight="true" outlineLevel="0" collapsed="false">
      <c r="A22" s="16" t="s">
        <v>102</v>
      </c>
      <c r="B22" s="16" t="s">
        <v>42</v>
      </c>
      <c r="C22" s="16" t="s">
        <v>212</v>
      </c>
      <c r="D22" s="3"/>
      <c r="E22" s="16" t="s">
        <v>213</v>
      </c>
      <c r="F22" s="16" t="s">
        <v>42</v>
      </c>
      <c r="G22" s="16" t="s">
        <v>182</v>
      </c>
      <c r="H22" s="16" t="s">
        <v>196</v>
      </c>
    </row>
    <row r="23" customFormat="false" ht="15" hidden="false" customHeight="false" outlineLevel="0" collapsed="false">
      <c r="A23" s="35" t="str">
        <f aca="false">Settings!$B$33</f>
        <v>A</v>
      </c>
      <c r="B23" s="29" t="n">
        <f aca="false">COUNTIF(Results!$K$6:$K$45,A23)</f>
        <v>2</v>
      </c>
      <c r="C23" s="41" t="n">
        <f aca="false">IFERROR(B23/COUNT(Results!$J$6:$J$45),0)</f>
        <v>0.166666666666667</v>
      </c>
      <c r="D23" s="3"/>
      <c r="E23" s="35" t="s">
        <v>131</v>
      </c>
      <c r="F23" s="29" t="n">
        <f aca="false">COUNTIF(Students!$C$6:$C$45,E23)</f>
        <v>6</v>
      </c>
      <c r="G23" s="33" t="n">
        <f aca="false">IFERROR(ROUND(AVERAGEIFS(Results!$J$6:$J$45,Students!$C$6:$C$45,E23),1),"")</f>
        <v>59.8</v>
      </c>
      <c r="H23" s="41" t="n">
        <f aca="false">IFERROR(COUNTIFS(Students!$C$6:$C$45,E23,Results!$J$6:$J$45,"&gt;="&amp;Settings!$B$11)/COUNTIFS(Students!$C$6:$C$45,E23,Results!$J$6:$J$45,"&gt;0"),"")</f>
        <v>0.666666666666667</v>
      </c>
    </row>
    <row r="24" customFormat="false" ht="15" hidden="false" customHeight="false" outlineLevel="0" collapsed="false">
      <c r="A24" s="35" t="str">
        <f aca="false">Settings!$B$32</f>
        <v>B</v>
      </c>
      <c r="B24" s="29" t="n">
        <f aca="false">COUNTIF(Results!$K$6:$K$45,A24)</f>
        <v>2</v>
      </c>
      <c r="C24" s="41" t="n">
        <f aca="false">IFERROR(B24/COUNT(Results!$J$6:$J$45),0)</f>
        <v>0.166666666666667</v>
      </c>
      <c r="D24" s="3"/>
      <c r="E24" s="35" t="s">
        <v>135</v>
      </c>
      <c r="F24" s="29" t="n">
        <f aca="false">COUNTIF(Students!$C$6:$C$45,E24)</f>
        <v>6</v>
      </c>
      <c r="G24" s="33" t="n">
        <f aca="false">IFERROR(ROUND(AVERAGEIFS(Results!$J$6:$J$45,Students!$C$6:$C$45,E24),1),"")</f>
        <v>64.6</v>
      </c>
      <c r="H24" s="41" t="n">
        <f aca="false">IFERROR(COUNTIFS(Students!$C$6:$C$45,E24,Results!$J$6:$J$45,"&gt;="&amp;Settings!$B$11)/COUNTIFS(Students!$C$6:$C$45,E24,Results!$J$6:$J$45,"&gt;0"),"")</f>
        <v>0.833333333333333</v>
      </c>
    </row>
    <row r="25" customFormat="false" ht="15" hidden="false" customHeight="false" outlineLevel="0" collapsed="false">
      <c r="A25" s="35" t="str">
        <f aca="false">Settings!$B$31</f>
        <v>C</v>
      </c>
      <c r="B25" s="29" t="n">
        <f aca="false">COUNTIF(Results!$K$6:$K$45,A25)</f>
        <v>3</v>
      </c>
      <c r="C25" s="41" t="n">
        <f aca="false">IFERROR(B25/COUNT(Results!$J$6:$J$45),0)</f>
        <v>0.25</v>
      </c>
      <c r="D25" s="3"/>
      <c r="E25" s="3"/>
      <c r="F25" s="3"/>
      <c r="G25" s="3"/>
      <c r="H25" s="3"/>
    </row>
    <row r="26" customFormat="false" ht="15" hidden="false" customHeight="false" outlineLevel="0" collapsed="false">
      <c r="A26" s="35" t="str">
        <f aca="false">Settings!$B$30</f>
        <v>D</v>
      </c>
      <c r="B26" s="29" t="n">
        <f aca="false">COUNTIF(Results!$K$6:$K$45,A26)</f>
        <v>2</v>
      </c>
      <c r="C26" s="41" t="n">
        <f aca="false">IFERROR(B26/COUNT(Results!$J$6:$J$45),0)</f>
        <v>0.166666666666667</v>
      </c>
      <c r="D26" s="3"/>
      <c r="E26" s="3"/>
      <c r="F26" s="3"/>
      <c r="G26" s="3"/>
      <c r="H26" s="3"/>
    </row>
    <row r="27" customFormat="false" ht="15" hidden="false" customHeight="false" outlineLevel="0" collapsed="false">
      <c r="A27" s="35" t="str">
        <f aca="false">Settings!$B$29</f>
        <v>E</v>
      </c>
      <c r="B27" s="29" t="n">
        <f aca="false">COUNTIF(Results!$K$6:$K$45,A27)</f>
        <v>2</v>
      </c>
      <c r="C27" s="41" t="n">
        <f aca="false">IFERROR(B27/COUNT(Results!$J$6:$J$45),0)</f>
        <v>0.166666666666667</v>
      </c>
      <c r="D27" s="3"/>
      <c r="E27" s="3"/>
      <c r="F27" s="3"/>
      <c r="G27" s="3"/>
      <c r="H27" s="3"/>
    </row>
    <row r="28" customFormat="false" ht="15" hidden="false" customHeight="false" outlineLevel="0" collapsed="false">
      <c r="A28" s="35" t="str">
        <f aca="false">Settings!$B$28</f>
        <v>F</v>
      </c>
      <c r="B28" s="29" t="n">
        <f aca="false">COUNTIF(Results!$K$6:$K$45,A28)</f>
        <v>1</v>
      </c>
      <c r="C28" s="41" t="n">
        <f aca="false">IFERROR(B28/COUNT(Results!$J$6:$J$45),0)</f>
        <v>0.0833333333333333</v>
      </c>
      <c r="D28" s="3"/>
      <c r="E28" s="3"/>
      <c r="F28" s="3"/>
      <c r="G28" s="3"/>
      <c r="H28" s="3"/>
    </row>
  </sheetData>
  <mergeCells count="33">
    <mergeCell ref="A1:H1"/>
    <mergeCell ref="A2:H2"/>
    <mergeCell ref="A4:B4"/>
    <mergeCell ref="C4:D4"/>
    <mergeCell ref="E4:F4"/>
    <mergeCell ref="G4:H4"/>
    <mergeCell ref="A5:B5"/>
    <mergeCell ref="C5:D5"/>
    <mergeCell ref="E5:F5"/>
    <mergeCell ref="G5:H5"/>
    <mergeCell ref="A8:B8"/>
    <mergeCell ref="C8:D8"/>
    <mergeCell ref="E8:F8"/>
    <mergeCell ref="G8:H8"/>
    <mergeCell ref="A9:B9"/>
    <mergeCell ref="C9:D9"/>
    <mergeCell ref="E9:F9"/>
    <mergeCell ref="G9:H9"/>
    <mergeCell ref="A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A21:C21"/>
    <mergeCell ref="E21:H21"/>
  </mergeCell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K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1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9"/>
    <col collapsed="false" customWidth="true" hidden="false" outlineLevel="0" max="10" min="10" style="0" width="3"/>
    <col collapsed="false" customWidth="true" hidden="false" outlineLevel="0" max="11" min="11" style="0" width="10"/>
  </cols>
  <sheetData>
    <row r="1" customFormat="false" ht="33.75" hidden="false" customHeight="true" outlineLevel="0" collapsed="false">
      <c r="A1" s="48" t="str">
        <f aca="false">Settings!B5</f>
        <v>Greenfield Academy</v>
      </c>
      <c r="B1" s="48"/>
      <c r="C1" s="48"/>
      <c r="D1" s="48"/>
      <c r="E1" s="48"/>
      <c r="F1" s="48"/>
      <c r="G1" s="48"/>
      <c r="H1" s="48"/>
      <c r="I1" s="48"/>
      <c r="J1" s="3"/>
      <c r="K1" s="3"/>
    </row>
    <row r="2" customFormat="false" ht="16.15" hidden="false" customHeight="false" outlineLevel="0" collapsed="false">
      <c r="A2" s="49" t="s">
        <v>214</v>
      </c>
      <c r="B2" s="49"/>
      <c r="C2" s="49"/>
      <c r="D2" s="49"/>
      <c r="E2" s="49"/>
      <c r="F2" s="49"/>
      <c r="G2" s="49"/>
      <c r="H2" s="49"/>
      <c r="I2" s="49"/>
      <c r="J2" s="3"/>
      <c r="K2" s="3"/>
    </row>
    <row r="3" customFormat="false" ht="15" hidden="false" customHeight="false" outlineLevel="0" collapsed="false">
      <c r="A3" s="50" t="str">
        <f aca="false">Settings!B6&amp;"   |   "&amp;Settings!B7&amp;"   |   "&amp;Settings!B8</f>
        <v>2026/2027   |   Term 1   |   Grade 8A</v>
      </c>
      <c r="B3" s="50"/>
      <c r="C3" s="50"/>
      <c r="D3" s="50"/>
      <c r="E3" s="50"/>
      <c r="F3" s="50"/>
      <c r="G3" s="50"/>
      <c r="H3" s="50"/>
      <c r="I3" s="50"/>
      <c r="J3" s="3"/>
      <c r="K3" s="3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51" t="s">
        <v>215</v>
      </c>
    </row>
    <row r="5" customFormat="false" ht="15" hidden="false" customHeight="false" outlineLevel="0" collapsed="false">
      <c r="A5" s="52" t="s">
        <v>216</v>
      </c>
      <c r="B5" s="19" t="s">
        <v>129</v>
      </c>
      <c r="C5" s="12" t="s">
        <v>217</v>
      </c>
      <c r="D5" s="3"/>
      <c r="E5" s="3"/>
      <c r="F5" s="3"/>
      <c r="G5" s="3"/>
      <c r="H5" s="3"/>
      <c r="I5" s="3"/>
      <c r="J5" s="3"/>
      <c r="K5" s="53" t="n">
        <f aca="false">IFERROR(MATCH(B5,Students!$A$6:$A$45,0),"")</f>
        <v>1</v>
      </c>
    </row>
    <row r="6" customFormat="false" ht="15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54" t="n">
        <f aca="false">IF($K$5="","",INDEX(Attendance!$F$6:$F$45,$K$5))</f>
        <v>0.983333333333333</v>
      </c>
    </row>
    <row r="7" customFormat="false" ht="15" hidden="false" customHeight="false" outlineLevel="0" collapsed="false">
      <c r="A7" s="9" t="s">
        <v>169</v>
      </c>
      <c r="B7" s="40" t="str">
        <f aca="false">IF($K$5="","",INDEX(Students!$B$6:$B$45,$K$5))</f>
        <v>Ava Thompson</v>
      </c>
      <c r="C7" s="40"/>
      <c r="D7" s="40"/>
      <c r="E7" s="55"/>
      <c r="F7" s="9" t="s">
        <v>124</v>
      </c>
      <c r="G7" s="8" t="str">
        <f aca="false">IF($K$5="","",$B$5)</f>
        <v>S001</v>
      </c>
      <c r="H7" s="8"/>
      <c r="I7" s="8"/>
      <c r="J7" s="3"/>
      <c r="K7" s="3"/>
    </row>
    <row r="8" customFormat="false" ht="15" hidden="false" customHeight="false" outlineLevel="0" collapsed="false">
      <c r="A8" s="9" t="s">
        <v>218</v>
      </c>
      <c r="B8" s="8" t="str">
        <f aca="false">Settings!B8</f>
        <v>Grade 8A</v>
      </c>
      <c r="C8" s="8"/>
      <c r="D8" s="8"/>
      <c r="E8" s="55"/>
      <c r="F8" s="9" t="s">
        <v>126</v>
      </c>
      <c r="G8" s="8" t="str">
        <f aca="false">IF($K$5="","",INDEX(Students!$C$6:$C$45,$K$5))</f>
        <v>Female</v>
      </c>
      <c r="H8" s="8"/>
      <c r="I8" s="8"/>
      <c r="J8" s="3"/>
      <c r="K8" s="3"/>
    </row>
    <row r="9" customFormat="false" ht="15" hidden="false" customHeight="false" outlineLevel="0" collapsed="false">
      <c r="A9" s="9" t="s">
        <v>64</v>
      </c>
      <c r="B9" s="8" t="str">
        <f aca="false">Settings!B6</f>
        <v>2026/2027</v>
      </c>
      <c r="C9" s="8"/>
      <c r="D9" s="8"/>
      <c r="E9" s="55"/>
      <c r="F9" s="9" t="s">
        <v>219</v>
      </c>
      <c r="G9" s="8" t="str">
        <f aca="false">Settings!B7</f>
        <v>Term 1</v>
      </c>
      <c r="H9" s="8"/>
      <c r="I9" s="8"/>
      <c r="J9" s="3"/>
      <c r="K9" s="3"/>
    </row>
    <row r="10" customFormat="false" ht="15" hidden="false" customHeight="false" outlineLevel="0" collapsed="false">
      <c r="A10" s="9" t="s">
        <v>70</v>
      </c>
      <c r="B10" s="8" t="str">
        <f aca="false">Settings!B9</f>
        <v>Ms. R. Clarke</v>
      </c>
      <c r="C10" s="8"/>
      <c r="D10" s="8"/>
      <c r="E10" s="55"/>
      <c r="F10" s="9" t="s">
        <v>220</v>
      </c>
      <c r="G10" s="56" t="n">
        <f aca="false">COUNT(Results!J6:J45)</f>
        <v>12</v>
      </c>
      <c r="H10" s="56"/>
      <c r="I10" s="56"/>
      <c r="J10" s="3"/>
      <c r="K10" s="3"/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19.5" hidden="false" customHeight="true" outlineLevel="0" collapsed="false">
      <c r="A12" s="31" t="s">
        <v>221</v>
      </c>
      <c r="B12" s="31"/>
      <c r="C12" s="31"/>
      <c r="D12" s="31"/>
      <c r="E12" s="31"/>
      <c r="F12" s="31"/>
      <c r="G12" s="31"/>
      <c r="H12" s="31"/>
      <c r="I12" s="31"/>
      <c r="J12" s="3"/>
      <c r="K12" s="3"/>
    </row>
    <row r="13" customFormat="false" ht="33.75" hidden="false" customHeight="true" outlineLevel="0" collapsed="false">
      <c r="A13" s="16" t="s">
        <v>86</v>
      </c>
      <c r="B13" s="16" t="str">
        <f aca="false">"CA ("&amp;TEXT(Settings!$B$13,"0%")&amp;")"</f>
        <v>CA (40%)</v>
      </c>
      <c r="C13" s="16" t="str">
        <f aca="false">"Exam ("&amp;TEXT(Settings!$B$14,"0%")&amp;")"</f>
        <v>Exam (60%)</v>
      </c>
      <c r="D13" s="16" t="s">
        <v>222</v>
      </c>
      <c r="E13" s="16" t="s">
        <v>102</v>
      </c>
      <c r="F13" s="16" t="s">
        <v>103</v>
      </c>
      <c r="G13" s="16" t="s">
        <v>187</v>
      </c>
      <c r="H13" s="16" t="s">
        <v>223</v>
      </c>
      <c r="I13" s="16" t="s">
        <v>224</v>
      </c>
      <c r="J13" s="3"/>
      <c r="K13" s="3"/>
    </row>
    <row r="14" customFormat="false" ht="15" hidden="false" customHeight="false" outlineLevel="0" collapsed="false">
      <c r="A14" s="40" t="str">
        <f aca="false">IF(Settings!$B$19="","",Settings!$B$19)</f>
        <v>Mathematics</v>
      </c>
      <c r="B14" s="33" t="n">
        <f aca="false">IF(OR($K$5="",$A14=""),"",IF(INDEX(Scores!$C$6:$C$45,$K$5)="","",INDEX(Scores!$C$6:$C$45,$K$5)))</f>
        <v>85</v>
      </c>
      <c r="C14" s="33" t="n">
        <f aca="false">IF(OR($K$5="",$A14=""),"",IF(INDEX(Scores!$D$6:$D$45,$K$5)="","",INDEX(Scores!$D$6:$D$45,$K$5)))</f>
        <v>79</v>
      </c>
      <c r="D14" s="34" t="n">
        <f aca="false">IF(OR($K$5="",$A14=""),"",INDEX(Results!$C$6:$C$45,$K$5))</f>
        <v>81.4</v>
      </c>
      <c r="E14" s="35" t="str">
        <f aca="false">IF(D14="","",INDEX(Settings!$B$28:$B$33,MATCH(D14,Settings!$A$28:$A$33,1)))</f>
        <v>A</v>
      </c>
      <c r="F14" s="17" t="str">
        <f aca="false">IF(D14="","",INDEX(Settings!$C$28:$C$33,MATCH(D14,Settings!$A$28:$A$33,1)))</f>
        <v>Excellent</v>
      </c>
      <c r="G14" s="33" t="n">
        <f aca="false">IF(D14="","",'Subject Analysis'!D6)</f>
        <v>62.1</v>
      </c>
      <c r="H14" s="17" t="str">
        <f aca="false">IF(D14="","",RANK(D14,Results!$C$6:$C$45,0)&amp;" of "&amp;COUNT(Results!$C$6:$C$45))</f>
        <v>2 of 12</v>
      </c>
      <c r="I14" s="33" t="n">
        <f aca="false">IF(D14="","",INDEX(Settings!$D$28:$D$33,MATCH(D14,Settings!$A$28:$A$33,1)))</f>
        <v>4</v>
      </c>
      <c r="J14" s="3"/>
      <c r="K14" s="3"/>
    </row>
    <row r="15" customFormat="false" ht="15" hidden="false" customHeight="false" outlineLevel="0" collapsed="false">
      <c r="A15" s="40" t="str">
        <f aca="false">IF(Settings!$B$20="","",Settings!$B$20)</f>
        <v>English Language</v>
      </c>
      <c r="B15" s="33" t="n">
        <f aca="false">IF(OR($K$5="",$A15=""),"",IF(INDEX(Scores!$E$6:$E$45,$K$5)="","",INDEX(Scores!$E$6:$E$45,$K$5)))</f>
        <v>91</v>
      </c>
      <c r="C15" s="33" t="n">
        <f aca="false">IF(OR($K$5="",$A15=""),"",IF(INDEX(Scores!$F$6:$F$45,$K$5)="","",INDEX(Scores!$F$6:$F$45,$K$5)))</f>
        <v>78</v>
      </c>
      <c r="D15" s="34" t="n">
        <f aca="false">IF(OR($K$5="",$A15=""),"",INDEX(Results!$D$6:$D$45,$K$5))</f>
        <v>83.2</v>
      </c>
      <c r="E15" s="35" t="str">
        <f aca="false">IF(D15="","",INDEX(Settings!$B$28:$B$33,MATCH(D15,Settings!$A$28:$A$33,1)))</f>
        <v>A</v>
      </c>
      <c r="F15" s="17" t="str">
        <f aca="false">IF(D15="","",INDEX(Settings!$C$28:$C$33,MATCH(D15,Settings!$A$28:$A$33,1)))</f>
        <v>Excellent</v>
      </c>
      <c r="G15" s="33" t="n">
        <f aca="false">IF(D15="","",'Subject Analysis'!D7)</f>
        <v>63.2</v>
      </c>
      <c r="H15" s="17" t="str">
        <f aca="false">IF(D15="","",RANK(D15,Results!$D$6:$D$45,0)&amp;" of "&amp;COUNT(Results!$D$6:$D$45))</f>
        <v>1 of 12</v>
      </c>
      <c r="I15" s="33" t="n">
        <f aca="false">IF(D15="","",INDEX(Settings!$D$28:$D$33,MATCH(D15,Settings!$A$28:$A$33,1)))</f>
        <v>4</v>
      </c>
      <c r="J15" s="3"/>
      <c r="K15" s="3"/>
    </row>
    <row r="16" customFormat="false" ht="15" hidden="false" customHeight="false" outlineLevel="0" collapsed="false">
      <c r="A16" s="40" t="str">
        <f aca="false">IF(Settings!$B$21="","",Settings!$B$21)</f>
        <v>Science</v>
      </c>
      <c r="B16" s="33" t="n">
        <f aca="false">IF(OR($K$5="",$A16=""),"",IF(INDEX(Scores!$G$6:$G$45,$K$5)="","",INDEX(Scores!$G$6:$G$45,$K$5)))</f>
        <v>89</v>
      </c>
      <c r="C16" s="33" t="n">
        <f aca="false">IF(OR($K$5="",$A16=""),"",IF(INDEX(Scores!$H$6:$H$45,$K$5)="","",INDEX(Scores!$H$6:$H$45,$K$5)))</f>
        <v>84</v>
      </c>
      <c r="D16" s="34" t="n">
        <f aca="false">IF(OR($K$5="",$A16=""),"",INDEX(Results!$E$6:$E$45,$K$5))</f>
        <v>86</v>
      </c>
      <c r="E16" s="35" t="str">
        <f aca="false">IF(D16="","",INDEX(Settings!$B$28:$B$33,MATCH(D16,Settings!$A$28:$A$33,1)))</f>
        <v>A</v>
      </c>
      <c r="F16" s="17" t="str">
        <f aca="false">IF(D16="","",INDEX(Settings!$C$28:$C$33,MATCH(D16,Settings!$A$28:$A$33,1)))</f>
        <v>Excellent</v>
      </c>
      <c r="G16" s="33" t="n">
        <f aca="false">IF(D16="","",'Subject Analysis'!D8)</f>
        <v>61.8</v>
      </c>
      <c r="H16" s="17" t="str">
        <f aca="false">IF(D16="","",RANK(D16,Results!$E$6:$E$45,0)&amp;" of "&amp;COUNT(Results!$E$6:$E$45))</f>
        <v>2 of 12</v>
      </c>
      <c r="I16" s="33" t="n">
        <f aca="false">IF(D16="","",INDEX(Settings!$D$28:$D$33,MATCH(D16,Settings!$A$28:$A$33,1)))</f>
        <v>4</v>
      </c>
      <c r="J16" s="3"/>
      <c r="K16" s="3"/>
    </row>
    <row r="17" customFormat="false" ht="15" hidden="false" customHeight="false" outlineLevel="0" collapsed="false">
      <c r="A17" s="40" t="str">
        <f aca="false">IF(Settings!$B$22="","",Settings!$B$22)</f>
        <v>Social Studies</v>
      </c>
      <c r="B17" s="33" t="n">
        <f aca="false">IF(OR($K$5="",$A17=""),"",IF(INDEX(Scores!$I$6:$I$45,$K$5)="","",INDEX(Scores!$I$6:$I$45,$K$5)))</f>
        <v>80</v>
      </c>
      <c r="C17" s="33" t="n">
        <f aca="false">IF(OR($K$5="",$A17=""),"",IF(INDEX(Scores!$J$6:$J$45,$K$5)="","",INDEX(Scores!$J$6:$J$45,$K$5)))</f>
        <v>87</v>
      </c>
      <c r="D17" s="34" t="n">
        <f aca="false">IF(OR($K$5="",$A17=""),"",INDEX(Results!$F$6:$F$45,$K$5))</f>
        <v>84.2</v>
      </c>
      <c r="E17" s="35" t="str">
        <f aca="false">IF(D17="","",INDEX(Settings!$B$28:$B$33,MATCH(D17,Settings!$A$28:$A$33,1)))</f>
        <v>A</v>
      </c>
      <c r="F17" s="17" t="str">
        <f aca="false">IF(D17="","",INDEX(Settings!$C$28:$C$33,MATCH(D17,Settings!$A$28:$A$33,1)))</f>
        <v>Excellent</v>
      </c>
      <c r="G17" s="33" t="n">
        <f aca="false">IF(D17="","",'Subject Analysis'!D9)</f>
        <v>62.3</v>
      </c>
      <c r="H17" s="17" t="str">
        <f aca="false">IF(D17="","",RANK(D17,Results!$F$6:$F$45,0)&amp;" of "&amp;COUNT(Results!$F$6:$F$45))</f>
        <v>1 of 12</v>
      </c>
      <c r="I17" s="33" t="n">
        <f aca="false">IF(D17="","",INDEX(Settings!$D$28:$D$33,MATCH(D17,Settings!$A$28:$A$33,1)))</f>
        <v>4</v>
      </c>
      <c r="J17" s="3"/>
      <c r="K17" s="3"/>
    </row>
    <row r="18" customFormat="false" ht="15" hidden="false" customHeight="false" outlineLevel="0" collapsed="false">
      <c r="A18" s="40" t="str">
        <f aca="false">IF(Settings!$B$23="","",Settings!$B$23)</f>
        <v>ICT</v>
      </c>
      <c r="B18" s="33" t="n">
        <f aca="false">IF(OR($K$5="",$A18=""),"",IF(INDEX(Scores!$K$6:$K$45,$K$5)="","",INDEX(Scores!$K$6:$K$45,$K$5)))</f>
        <v>80</v>
      </c>
      <c r="C18" s="33" t="n">
        <f aca="false">IF(OR($K$5="",$A18=""),"",IF(INDEX(Scores!$L$6:$L$45,$K$5)="","",INDEX(Scores!$L$6:$L$45,$K$5)))</f>
        <v>86</v>
      </c>
      <c r="D18" s="34" t="n">
        <f aca="false">IF(OR($K$5="",$A18=""),"",INDEX(Results!$G$6:$G$45,$K$5))</f>
        <v>83.6</v>
      </c>
      <c r="E18" s="35" t="str">
        <f aca="false">IF(D18="","",INDEX(Settings!$B$28:$B$33,MATCH(D18,Settings!$A$28:$A$33,1)))</f>
        <v>A</v>
      </c>
      <c r="F18" s="17" t="str">
        <f aca="false">IF(D18="","",INDEX(Settings!$C$28:$C$33,MATCH(D18,Settings!$A$28:$A$33,1)))</f>
        <v>Excellent</v>
      </c>
      <c r="G18" s="33" t="n">
        <f aca="false">IF(D18="","",'Subject Analysis'!D10)</f>
        <v>61.4</v>
      </c>
      <c r="H18" s="17" t="str">
        <f aca="false">IF(D18="","",RANK(D18,Results!$G$6:$G$45,0)&amp;" of "&amp;COUNT(Results!$G$6:$G$45))</f>
        <v>1 of 12</v>
      </c>
      <c r="I18" s="33" t="n">
        <f aca="false">IF(D18="","",INDEX(Settings!$D$28:$D$33,MATCH(D18,Settings!$A$28:$A$33,1)))</f>
        <v>4</v>
      </c>
      <c r="J18" s="3"/>
      <c r="K18" s="3"/>
    </row>
    <row r="19" customFormat="false" ht="15" hidden="false" customHeight="false" outlineLevel="0" collapsed="false">
      <c r="A19" s="40" t="str">
        <f aca="false">IF(Settings!$B$24="","",Settings!$B$24)</f>
        <v>Creative Arts</v>
      </c>
      <c r="B19" s="33" t="n">
        <f aca="false">IF(OR($K$5="",$A19=""),"",IF(INDEX(Scores!$M$6:$M$45,$K$5)="","",INDEX(Scores!$M$6:$M$45,$K$5)))</f>
        <v>80</v>
      </c>
      <c r="C19" s="33" t="n">
        <f aca="false">IF(OR($K$5="",$A19=""),"",IF(INDEX(Scores!$N$6:$N$45,$K$5)="","",INDEX(Scores!$N$6:$N$45,$K$5)))</f>
        <v>78</v>
      </c>
      <c r="D19" s="34" t="n">
        <f aca="false">IF(OR($K$5="",$A19=""),"",INDEX(Results!$H$6:$H$45,$K$5))</f>
        <v>78.8</v>
      </c>
      <c r="E19" s="35" t="str">
        <f aca="false">IF(D19="","",INDEX(Settings!$B$28:$B$33,MATCH(D19,Settings!$A$28:$A$33,1)))</f>
        <v>B</v>
      </c>
      <c r="F19" s="17" t="str">
        <f aca="false">IF(D19="","",INDEX(Settings!$C$28:$C$33,MATCH(D19,Settings!$A$28:$A$33,1)))</f>
        <v>Very good</v>
      </c>
      <c r="G19" s="33" t="n">
        <f aca="false">IF(D19="","",'Subject Analysis'!D11)</f>
        <v>62.4</v>
      </c>
      <c r="H19" s="17" t="str">
        <f aca="false">IF(D19="","",RANK(D19,Results!$H$6:$H$45,0)&amp;" of "&amp;COUNT(Results!$H$6:$H$45))</f>
        <v>2 of 12</v>
      </c>
      <c r="I19" s="33" t="n">
        <f aca="false">IF(D19="","",INDEX(Settings!$D$28:$D$33,MATCH(D19,Settings!$A$28:$A$33,1)))</f>
        <v>3</v>
      </c>
      <c r="J19" s="3"/>
      <c r="K19" s="3"/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19.5" hidden="false" customHeight="true" outlineLevel="0" collapsed="false">
      <c r="A21" s="31" t="s">
        <v>225</v>
      </c>
      <c r="B21" s="31"/>
      <c r="C21" s="31"/>
      <c r="D21" s="31"/>
      <c r="E21" s="31"/>
      <c r="F21" s="31"/>
      <c r="G21" s="31"/>
      <c r="H21" s="31"/>
      <c r="I21" s="31"/>
      <c r="J21" s="3"/>
      <c r="K21" s="3"/>
    </row>
    <row r="22" customFormat="false" ht="15" hidden="false" customHeight="false" outlineLevel="0" collapsed="false">
      <c r="A22" s="9" t="s">
        <v>226</v>
      </c>
      <c r="B22" s="57" t="n">
        <f aca="false">IF($K$5="","",INDEX(Results!$I$6:$I$45,$K$5))</f>
        <v>497.2</v>
      </c>
      <c r="C22" s="57"/>
      <c r="D22" s="57"/>
      <c r="E22" s="3"/>
      <c r="F22" s="9" t="s">
        <v>227</v>
      </c>
      <c r="G22" s="57" t="n">
        <f aca="false">IF($K$5="","",INDEX(Results!$J$6:$J$45,$K$5))</f>
        <v>82.9</v>
      </c>
      <c r="H22" s="57"/>
      <c r="I22" s="57"/>
      <c r="J22" s="3"/>
      <c r="K22" s="3"/>
    </row>
    <row r="23" customFormat="false" ht="15" hidden="false" customHeight="false" outlineLevel="0" collapsed="false">
      <c r="A23" s="9" t="s">
        <v>228</v>
      </c>
      <c r="B23" s="40" t="str">
        <f aca="false">IF($K$5="","",INDEX(Results!$K$6:$K$45,$K$5))</f>
        <v>A</v>
      </c>
      <c r="C23" s="40"/>
      <c r="D23" s="40"/>
      <c r="E23" s="3"/>
      <c r="F23" s="9" t="s">
        <v>229</v>
      </c>
      <c r="G23" s="40" t="str">
        <f aca="false">IF($K$5="","",IF(INDEX(Results!$L$6:$L$45,$K$5)="","",INDEX(Results!$M$6:$M$45,$K$5)&amp;" of "&amp;COUNT(Results!$J$6:$J$45)))</f>
        <v>1st of 12</v>
      </c>
      <c r="H23" s="40"/>
      <c r="I23" s="40"/>
      <c r="J23" s="3"/>
      <c r="K23" s="3"/>
    </row>
    <row r="24" customFormat="false" ht="15" hidden="false" customHeight="false" outlineLevel="0" collapsed="false">
      <c r="A24" s="9" t="s">
        <v>185</v>
      </c>
      <c r="B24" s="40" t="str">
        <f aca="false">IF($K$5="","",IF(INDEX(Results!$N$6:$N$45,$K$5)="","",INDEX(Results!$N$6:$N$45,$K$5)&amp;" of "&amp;COUNT($D$14:$D$19)))</f>
        <v>6 of 6</v>
      </c>
      <c r="C24" s="40"/>
      <c r="D24" s="40"/>
      <c r="E24" s="3"/>
      <c r="F24" s="9" t="s">
        <v>230</v>
      </c>
      <c r="G24" s="58" t="n">
        <f aca="false">IF(COUNT($I$14:$I$19)=0,"",ROUND(AVERAGE($I$14:$I$19),2))</f>
        <v>3.83</v>
      </c>
      <c r="H24" s="58"/>
      <c r="I24" s="58"/>
      <c r="J24" s="3"/>
      <c r="K24" s="3"/>
    </row>
    <row r="25" customFormat="false" ht="15" hidden="false" customHeight="false" outlineLevel="0" collapsed="false">
      <c r="A25" s="9" t="s">
        <v>46</v>
      </c>
      <c r="B25" s="40" t="str">
        <f aca="false">IF($K$5="","",IF(INDEX(Attendance!$C$6:$C$45,$K$5)="","",INDEX(Attendance!$C$6:$C$45,$K$5)&amp;" / "&amp;Settings!$B$10&amp;" days ("&amp;TEXT($K$6,"0.0%")&amp;")"))</f>
        <v>59 / 60 days (98.3%)</v>
      </c>
      <c r="C25" s="40"/>
      <c r="D25" s="40"/>
      <c r="E25" s="3"/>
      <c r="F25" s="9" t="s">
        <v>231</v>
      </c>
      <c r="G25" s="40" t="str">
        <f aca="false">IF($K$5="","",INDEX(Attendance!$G$6:$G$45,$K$5))</f>
        <v>Excellent</v>
      </c>
      <c r="H25" s="40"/>
      <c r="I25" s="40"/>
      <c r="J25" s="3"/>
      <c r="K25" s="3"/>
    </row>
    <row r="26" customFormat="false" ht="15" hidden="false" customHeight="false" outlineLevel="0" collapsed="false">
      <c r="A26" s="9" t="s">
        <v>232</v>
      </c>
      <c r="B26" s="40" t="str">
        <f aca="false">IF($K$5="","",INDEX(Results!$P$6:$P$45,$K$5))</f>
        <v>Promoted</v>
      </c>
      <c r="C26" s="40"/>
      <c r="D26" s="40"/>
      <c r="E26" s="3"/>
      <c r="F26" s="9" t="s">
        <v>233</v>
      </c>
      <c r="G26" s="57" t="n">
        <f aca="false">IF($K$5="","",IFERROR(ROUND(AVERAGE(Results!$J$6:$J$45),1),""))</f>
        <v>62.2</v>
      </c>
      <c r="H26" s="57"/>
      <c r="I26" s="57"/>
      <c r="J26" s="3"/>
      <c r="K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19.5" hidden="false" customHeight="true" outlineLevel="0" collapsed="false">
      <c r="A28" s="31" t="s">
        <v>234</v>
      </c>
      <c r="B28" s="31"/>
      <c r="C28" s="31"/>
      <c r="D28" s="31"/>
      <c r="E28" s="31"/>
      <c r="F28" s="31"/>
      <c r="G28" s="31"/>
      <c r="H28" s="31"/>
      <c r="I28" s="31"/>
      <c r="J28" s="3"/>
      <c r="K28" s="3"/>
    </row>
    <row r="29" customFormat="false" ht="21.75" hidden="false" customHeight="true" outlineLevel="0" collapsed="false">
      <c r="A29" s="6" t="str">
        <f aca="false">IF($K$5="","",IF($B$36&lt;&gt;"",$B$36,IF($G$22="","",IF($G$22&gt;=Settings!$A$33,"Outstanding performance. Keep up the excellent work.",IF($G$22&gt;=Settings!$A$32,"Very good results. Aim higher by strengthening the weaker subjects.",IF($G$22&gt;=Settings!$A$31,"Good effort. Consistent revision will lift results further.",IF($G$22&gt;=Settings!$B$11,"Satisfactory. More focus and regular practice are needed.","Below the pass mark. Extra support and a study plan are recommended."))))&amp;IF(AND($K$6&lt;&gt;"",$K$6&lt;Settings!$B$12)," Attendance needs to improve.",""))))</f>
        <v>Outstanding performance. Keep up the excellent work.</v>
      </c>
      <c r="B29" s="6"/>
      <c r="C29" s="6"/>
      <c r="D29" s="6"/>
      <c r="E29" s="6"/>
      <c r="F29" s="6"/>
      <c r="G29" s="6"/>
      <c r="H29" s="6"/>
      <c r="I29" s="6"/>
      <c r="J29" s="3"/>
      <c r="K29" s="3"/>
    </row>
    <row r="30" customFormat="false" ht="21.75" hidden="false" customHeight="tru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3"/>
      <c r="K30" s="3"/>
    </row>
    <row r="31" customFormat="false" ht="15" hidden="false" customHeight="fals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33.7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15" hidden="false" customHeight="false" outlineLevel="0" collapsed="false">
      <c r="A33" s="59" t="str">
        <f aca="false">"Class teacher: "&amp;Settings!B9</f>
        <v>Class teacher: Ms. R. Clarke</v>
      </c>
      <c r="B33" s="59"/>
      <c r="C33" s="59"/>
      <c r="D33" s="59" t="str">
        <f aca="false">"Headteacher: "&amp;Settings!B15</f>
        <v>Headteacher: Mr. D. Foster</v>
      </c>
      <c r="E33" s="59"/>
      <c r="F33" s="59"/>
      <c r="G33" s="59" t="s">
        <v>235</v>
      </c>
      <c r="H33" s="59"/>
      <c r="I33" s="59"/>
      <c r="J33" s="3"/>
      <c r="K33" s="3"/>
    </row>
    <row r="34" customFormat="false" ht="15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15" hidden="false" customHeight="false" outlineLevel="0" collapsed="false">
      <c r="A35" s="60" t="s">
        <v>236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15" hidden="false" customHeight="false" outlineLevel="0" collapsed="false">
      <c r="A36" s="9" t="s">
        <v>237</v>
      </c>
      <c r="B36" s="7"/>
      <c r="C36" s="7"/>
      <c r="D36" s="7"/>
      <c r="E36" s="7"/>
      <c r="F36" s="7"/>
      <c r="G36" s="7"/>
      <c r="H36" s="7"/>
      <c r="I36" s="7"/>
      <c r="J36" s="3"/>
      <c r="K36" s="3"/>
    </row>
    <row r="37" customFormat="false" ht="15" hidden="false" customHeight="false" outlineLevel="0" collapsed="false">
      <c r="A37" s="3"/>
      <c r="B37" s="61" t="s">
        <v>238</v>
      </c>
      <c r="C37" s="3"/>
      <c r="D37" s="3"/>
      <c r="E37" s="3"/>
      <c r="F37" s="3"/>
      <c r="G37" s="3"/>
      <c r="H37" s="3"/>
      <c r="I37" s="3"/>
      <c r="J37" s="3"/>
      <c r="K37" s="3"/>
    </row>
  </sheetData>
  <mergeCells count="29">
    <mergeCell ref="A1:I1"/>
    <mergeCell ref="A2:I2"/>
    <mergeCell ref="A3:I3"/>
    <mergeCell ref="B7:D7"/>
    <mergeCell ref="G7:I7"/>
    <mergeCell ref="B8:D8"/>
    <mergeCell ref="G8:I8"/>
    <mergeCell ref="B9:D9"/>
    <mergeCell ref="G9:I9"/>
    <mergeCell ref="B10:D10"/>
    <mergeCell ref="G10:I10"/>
    <mergeCell ref="A12:I12"/>
    <mergeCell ref="A21:I21"/>
    <mergeCell ref="B22:D22"/>
    <mergeCell ref="G22:I22"/>
    <mergeCell ref="B23:D23"/>
    <mergeCell ref="G23:I23"/>
    <mergeCell ref="B24:D24"/>
    <mergeCell ref="G24:I24"/>
    <mergeCell ref="B25:D25"/>
    <mergeCell ref="G25:I25"/>
    <mergeCell ref="B26:D26"/>
    <mergeCell ref="G26:I26"/>
    <mergeCell ref="A28:I28"/>
    <mergeCell ref="A29:I30"/>
    <mergeCell ref="A33:C33"/>
    <mergeCell ref="D33:F33"/>
    <mergeCell ref="G33:I33"/>
    <mergeCell ref="B36:I36"/>
  </mergeCells>
  <conditionalFormatting sqref="B14:D19">
    <cfRule type="expression" priority="2" aboveAverage="0" equalAverage="0" bottom="0" percent="0" rank="0" text="" dxfId="0">
      <formula>AND(ISNUMBER(B14),B14&lt;Settings!$B$11)</formula>
    </cfRule>
  </conditionalFormatting>
  <conditionalFormatting sqref="G26">
    <cfRule type="expression" priority="3" aboveAverage="0" equalAverage="0" bottom="0" percent="0" rank="0" text="" dxfId="3">
      <formula>LEFT($B$26,7)="At Risk"</formula>
    </cfRule>
  </conditionalFormatting>
  <conditionalFormatting sqref="B26">
    <cfRule type="expression" priority="4" aboveAverage="0" equalAverage="0" bottom="0" percent="0" rank="0" text="" dxfId="4">
      <formula>LEFT($B$26,7)="At Risk"</formula>
    </cfRule>
    <cfRule type="expression" priority="5" aboveAverage="0" equalAverage="0" bottom="0" percent="0" rank="0" text="" dxfId="1">
      <formula>$B$26="Promoted"</formula>
    </cfRule>
  </conditionalFormatting>
  <dataValidations count="1">
    <dataValidation allowBlank="true" errorStyle="stop" operator="between" showDropDown="false" showErrorMessage="false" showInputMessage="false" sqref="B5" type="list">
      <formula1>Students!$A$6:$A$45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2026-10-13T13:56:27Z</dcterms:created>
  <dc:creator>openpyxl</dc:creator>
  <dc:description/>
  <dc:language>en-US</dc:language>
  <cp:lastModifiedBy/>
  <dcterms:modified xsi:type="dcterms:W3CDTF">2026-10-13T06:56:30Z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