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puts" sheetId="1" state="visible" r:id="rId3"/>
    <sheet name="Analysis" sheetId="2" state="visible" r:id="rId4"/>
    <sheet name="Projection" sheetId="3" state="visible" r:id="rId5"/>
    <sheet name="Scenario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<sst xmlns="http://schemas.openxmlformats.org/spreadsheetml/2006/main" count="187" uniqueCount="158">
  <si>
    <t xml:space="preserve">Real Estate Investment &amp; Rental Yield Calculator</t>
  </si>
  <si>
    <t xml:space="preserve">Inputs: change only the blue cells with yellow fill; every other sheet recalculates</t>
  </si>
  <si>
    <t xml:space="preserve">Legend</t>
  </si>
  <si>
    <t xml:space="preserve">Blue on yellow = input you can edit</t>
  </si>
  <si>
    <t xml:space="preserve">Black = formula   |   Green = link from another sheet</t>
  </si>
  <si>
    <t xml:space="preserve">The values below are an illustrative example property (placeholders supplied with this template, not market data). Replace them with your own figures.</t>
  </si>
  <si>
    <t xml:space="preserve">Item</t>
  </si>
  <si>
    <t xml:space="preserve">Value</t>
  </si>
  <si>
    <t xml:space="preserve">Notes</t>
  </si>
  <si>
    <t xml:space="preserve">Purchase &amp; Closing</t>
  </si>
  <si>
    <t xml:space="preserve">Purchase price ($)</t>
  </si>
  <si>
    <t xml:space="preserve">Contract price</t>
  </si>
  <si>
    <t xml:space="preserve">Closing costs (% of price)</t>
  </si>
  <si>
    <t xml:space="preserve">Buyer-side costs; commonly 2-5%</t>
  </si>
  <si>
    <t xml:space="preserve">Initial renovation / repairs ($)</t>
  </si>
  <si>
    <t xml:space="preserve">One-time cost at purchase</t>
  </si>
  <si>
    <t xml:space="preserve">Financing</t>
  </si>
  <si>
    <t xml:space="preserve">Down payment (% of price)</t>
  </si>
  <si>
    <t xml:space="preserve">Investment loans often require 20-25%</t>
  </si>
  <si>
    <t xml:space="preserve">Mortgage interest rate (annual)</t>
  </si>
  <si>
    <t xml:space="preserve">Fixed-rate, monthly amortization</t>
  </si>
  <si>
    <t xml:space="preserve">Loan term (years)</t>
  </si>
  <si>
    <t xml:space="preserve">Income (Year 1)</t>
  </si>
  <si>
    <t xml:space="preserve">Monthly rent ($)</t>
  </si>
  <si>
    <t xml:space="preserve">Total rent across all units</t>
  </si>
  <si>
    <t xml:space="preserve">Other monthly income ($)</t>
  </si>
  <si>
    <t xml:space="preserve">Parking, laundry, pet fees, etc.</t>
  </si>
  <si>
    <t xml:space="preserve">Vacancy &amp; credit loss (% of gross income)</t>
  </si>
  <si>
    <t xml:space="preserve">6% is about 3 weeks empty per year</t>
  </si>
  <si>
    <t xml:space="preserve">Annual rent growth</t>
  </si>
  <si>
    <t xml:space="preserve">Applied from Year 2 onward</t>
  </si>
  <si>
    <t xml:space="preserve">Operating Expenses (Year 1)</t>
  </si>
  <si>
    <t xml:space="preserve">Property tax (% of purchase price / year)</t>
  </si>
  <si>
    <t xml:space="preserve">Check the local assessor rate</t>
  </si>
  <si>
    <t xml:space="preserve">Insurance ($ / year)</t>
  </si>
  <si>
    <t xml:space="preserve">Maintenance &amp; repairs (% of gross income)</t>
  </si>
  <si>
    <t xml:space="preserve">Routine upkeep</t>
  </si>
  <si>
    <t xml:space="preserve">CapEx reserve (% of gross income)</t>
  </si>
  <si>
    <t xml:space="preserve">Roof, HVAC, appliances over time</t>
  </si>
  <si>
    <t xml:space="preserve">Property management (% of collected rent)</t>
  </si>
  <si>
    <t xml:space="preserve">Set to 0% if self-managed</t>
  </si>
  <si>
    <t xml:space="preserve">HOA fees ($ / month)</t>
  </si>
  <si>
    <t xml:space="preserve">Owner-paid utilities ($ / year)</t>
  </si>
  <si>
    <t xml:space="preserve">Other expenses ($ / year)</t>
  </si>
  <si>
    <t xml:space="preserve">Landscaping, legal, accounting, etc.</t>
  </si>
  <si>
    <t xml:space="preserve">Annual expense growth</t>
  </si>
  <si>
    <t xml:space="preserve">Growth &amp; Exit</t>
  </si>
  <si>
    <t xml:space="preserve">Annual property appreciation</t>
  </si>
  <si>
    <t xml:space="preserve">Used for equity and exit value</t>
  </si>
  <si>
    <t xml:space="preserve">Selling costs at exit (% of sale price)</t>
  </si>
  <si>
    <t xml:space="preserve">Agent fees and closing costs on sale</t>
  </si>
  <si>
    <t xml:space="preserve">Investment Analysis (Year 1)</t>
  </si>
  <si>
    <t xml:space="preserve">All figures are formulas driven by the Inputs sheet</t>
  </si>
  <si>
    <t xml:space="preserve">1. Investment &amp; Financing</t>
  </si>
  <si>
    <t xml:space="preserve">Purchase price</t>
  </si>
  <si>
    <t xml:space="preserve">From Inputs</t>
  </si>
  <si>
    <t xml:space="preserve">Closing costs</t>
  </si>
  <si>
    <t xml:space="preserve">Price x closing cost %</t>
  </si>
  <si>
    <t xml:space="preserve">Initial renovation / repairs</t>
  </si>
  <si>
    <t xml:space="preserve">Total project cost</t>
  </si>
  <si>
    <t xml:space="preserve">Down payment</t>
  </si>
  <si>
    <t xml:space="preserve">Price x down payment %</t>
  </si>
  <si>
    <t xml:space="preserve">Loan amount</t>
  </si>
  <si>
    <t xml:space="preserve">Price - down payment</t>
  </si>
  <si>
    <t xml:space="preserve">Total cash invested</t>
  </si>
  <si>
    <t xml:space="preserve">Down payment + closing costs + renovation</t>
  </si>
  <si>
    <t xml:space="preserve">Monthly mortgage payment (P&amp;I)</t>
  </si>
  <si>
    <t xml:space="preserve">Annual debt service</t>
  </si>
  <si>
    <t xml:space="preserve">2. Income</t>
  </si>
  <si>
    <t xml:space="preserve">Gross scheduled rent</t>
  </si>
  <si>
    <t xml:space="preserve">Monthly rent x 12</t>
  </si>
  <si>
    <t xml:space="preserve">Other income</t>
  </si>
  <si>
    <t xml:space="preserve">Other monthly income x 12</t>
  </si>
  <si>
    <t xml:space="preserve">Gross scheduled income (GSI)</t>
  </si>
  <si>
    <t xml:space="preserve">Less: vacancy &amp; credit loss</t>
  </si>
  <si>
    <t xml:space="preserve">GSI x vacancy %</t>
  </si>
  <si>
    <t xml:space="preserve">Effective gross income (EGI)</t>
  </si>
  <si>
    <t xml:space="preserve">3. Operating Expenses</t>
  </si>
  <si>
    <t xml:space="preserve">Property tax</t>
  </si>
  <si>
    <t xml:space="preserve">Price x tax rate</t>
  </si>
  <si>
    <t xml:space="preserve">Insurance</t>
  </si>
  <si>
    <t xml:space="preserve">Maintenance &amp; repairs</t>
  </si>
  <si>
    <t xml:space="preserve">% of GSI</t>
  </si>
  <si>
    <t xml:space="preserve">CapEx reserve</t>
  </si>
  <si>
    <t xml:space="preserve">Property management</t>
  </si>
  <si>
    <t xml:space="preserve">% of EGI (collected rent)</t>
  </si>
  <si>
    <t xml:space="preserve">HOA fees</t>
  </si>
  <si>
    <t xml:space="preserve">Monthly HOA x 12</t>
  </si>
  <si>
    <t xml:space="preserve">Owner-paid utilities</t>
  </si>
  <si>
    <t xml:space="preserve">Other expenses</t>
  </si>
  <si>
    <t xml:space="preserve">Total operating expenses</t>
  </si>
  <si>
    <t xml:space="preserve">4. Net Operating Income &amp; Cash Flow</t>
  </si>
  <si>
    <t xml:space="preserve">Net operating income (NOI)</t>
  </si>
  <si>
    <t xml:space="preserve">EGI - operating expenses (before debt service)</t>
  </si>
  <si>
    <t xml:space="preserve">Less: annual debt service</t>
  </si>
  <si>
    <t xml:space="preserve">Annual cash flow (pre-tax)</t>
  </si>
  <si>
    <t xml:space="preserve">Monthly cash flow (pre-tax)</t>
  </si>
  <si>
    <t xml:space="preserve">5. Return Metrics</t>
  </si>
  <si>
    <t xml:space="preserve">Gross rental yield</t>
  </si>
  <si>
    <t xml:space="preserve">GSI / purchase price</t>
  </si>
  <si>
    <t xml:space="preserve">Net rental yield (cap rate)</t>
  </si>
  <si>
    <t xml:space="preserve">NOI / purchase price</t>
  </si>
  <si>
    <t xml:space="preserve">Yield on total cost</t>
  </si>
  <si>
    <t xml:space="preserve">NOI / total project cost</t>
  </si>
  <si>
    <t xml:space="preserve">Cash-on-cash return</t>
  </si>
  <si>
    <t xml:space="preserve">Annual cash flow / total cash invested</t>
  </si>
  <si>
    <t xml:space="preserve">Gross rent multiplier</t>
  </si>
  <si>
    <t xml:space="preserve">Price / GSI</t>
  </si>
  <si>
    <t xml:space="preserve">Operating expense ratio</t>
  </si>
  <si>
    <t xml:space="preserve">Operating expenses / EGI</t>
  </si>
  <si>
    <t xml:space="preserve">Debt service coverage ratio (DSCR)</t>
  </si>
  <si>
    <t xml:space="preserve">NOI / debt service; lenders typically want 1.20x or more</t>
  </si>
  <si>
    <t xml:space="preserve">Break-even occupancy</t>
  </si>
  <si>
    <t xml:space="preserve">(Operating expenses + debt service) / GSI</t>
  </si>
  <si>
    <t xml:space="preserve">Simple payback period</t>
  </si>
  <si>
    <t xml:space="preserve">Cash invested / Year 1 cash flow (no growth)</t>
  </si>
  <si>
    <t xml:space="preserve">Payback year (with rent &amp; expense growth)</t>
  </si>
  <si>
    <t xml:space="preserve">First year cumulative cash flow covers cash invested (see Projection)</t>
  </si>
  <si>
    <t xml:space="preserve">10-year IRR (including sale)</t>
  </si>
  <si>
    <t xml:space="preserve">Cash flows plus net sale proceeds in Year 10</t>
  </si>
  <si>
    <t xml:space="preserve">10-year equity multiple</t>
  </si>
  <si>
    <t xml:space="preserve">Total cash returned / cash invested</t>
  </si>
  <si>
    <t xml:space="preserve">10-Year Projection</t>
  </si>
  <si>
    <t xml:space="preserve">Rent grows at the rent growth rate, expenses at the expense growth rate; debt service is fixed</t>
  </si>
  <si>
    <t xml:space="preserve">Year</t>
  </si>
  <si>
    <t xml:space="preserve">Gross scheduled income</t>
  </si>
  <si>
    <t xml:space="preserve">Effective gross income</t>
  </si>
  <si>
    <t xml:space="preserve">Less: operating expenses</t>
  </si>
  <si>
    <t xml:space="preserve">Less: debt service</t>
  </si>
  <si>
    <t xml:space="preserve">Cash flow (pre-tax)</t>
  </si>
  <si>
    <t xml:space="preserve">Cumulative cash flow</t>
  </si>
  <si>
    <t xml:space="preserve">Cumulative cash flow less cash invested</t>
  </si>
  <si>
    <t xml:space="preserve">Cash invested recovered? (1 = yes)</t>
  </si>
  <si>
    <t xml:space="preserve">DSCR</t>
  </si>
  <si>
    <t xml:space="preserve">Equity &amp; Value (end of year)</t>
  </si>
  <si>
    <t xml:space="preserve">Property value</t>
  </si>
  <si>
    <t xml:space="preserve">Loan balance</t>
  </si>
  <si>
    <t xml:space="preserve">Owner equity</t>
  </si>
  <si>
    <t xml:space="preserve">Exit: if sold at end of year</t>
  </si>
  <si>
    <t xml:space="preserve">Less: selling costs</t>
  </si>
  <si>
    <t xml:space="preserve">Net sale proceeds (after loan payoff)</t>
  </si>
  <si>
    <t xml:space="preserve">Investor cash flows, sale in Year 10</t>
  </si>
  <si>
    <t xml:space="preserve">Summary Metrics</t>
  </si>
  <si>
    <t xml:space="preserve">Payback year (cumulative cash flow &gt;= cash invested)</t>
  </si>
  <si>
    <t xml:space="preserve">Note: operating expenses are grown as a single block from the Year 1 total; vacancy is re-applied to each year's gross income. Sale proceeds assume the loan is repaid at exit.</t>
  </si>
  <si>
    <t xml:space="preserve">Investment Scenarios</t>
  </si>
  <si>
    <t xml:space="preserve">Compare Year 1 results; Base links to Inputs, other columns are editable levers</t>
  </si>
  <si>
    <t xml:space="preserve">Lever / Result</t>
  </si>
  <si>
    <t xml:space="preserve">Pessimistic</t>
  </si>
  <si>
    <t xml:space="preserve">Base</t>
  </si>
  <si>
    <t xml:space="preserve">Optimistic</t>
  </si>
  <si>
    <t xml:space="preserve">Scenario levers (all other assumptions come from Inputs)</t>
  </si>
  <si>
    <t xml:space="preserve">Example lever values; edit the blue cells</t>
  </si>
  <si>
    <t xml:space="preserve">Mortgage interest rate</t>
  </si>
  <si>
    <t xml:space="preserve">Vacancy rate</t>
  </si>
  <si>
    <t xml:space="preserve">Maintenance (% of gross income)</t>
  </si>
  <si>
    <t xml:space="preserve">Results (Year 1)</t>
  </si>
  <si>
    <t xml:space="preserve">Check: Base cash flow minus Analysis cash flow (should show OK)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</si>
</sst>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\$#,##0;&quot;($&quot;#,##0\);\-"/>
    <numFmt numFmtId="166" formatCode="0.00%;\(0.00%\);\-"/>
    <numFmt numFmtId="167" formatCode="0.0%;\(0.0%\);\-"/>
    <numFmt numFmtId="168" formatCode="0"/>
    <numFmt numFmtId="169" formatCode="0.0\x"/>
    <numFmt numFmtId="170" formatCode="0.00\x"/>
    <numFmt numFmtId="171" formatCode="0.0&quot; yrs&quot;"/>
    <numFmt numFmtId="172" formatCode="&quot;Year &quot;0"/>
    <numFmt numFmtId="173" formatCode="0.00;\-0.00;&quot;OK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F3864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5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5" customFormat="false" ht="15" hidden="false" customHeight="false" outlineLevel="0" collapsed="false">
      <c r="A5" s="5" t="s">
        <v>4</v>
      </c>
    </row>
    <row r="6" customFormat="false" ht="15" hidden="false" customHeight="false" outlineLevel="0" collapsed="false">
      <c r="A6" s="6" t="s">
        <v>5</v>
      </c>
    </row>
    <row r="8" customFormat="false" ht="15" hidden="false" customHeight="false" outlineLevel="0" collapsed="false">
      <c r="A8" s="7" t="s">
        <v>6</v>
      </c>
      <c r="B8" s="8" t="s">
        <v>7</v>
      </c>
      <c r="C8" s="7" t="s">
        <v>8</v>
      </c>
    </row>
    <row r="9" customFormat="false" ht="15" hidden="false" customHeight="false" outlineLevel="0" collapsed="false">
      <c r="A9" s="9" t="s">
        <v>9</v>
      </c>
      <c r="B9" s="10"/>
      <c r="C9" s="10"/>
    </row>
    <row r="10" customFormat="false" ht="15" hidden="false" customHeight="false" outlineLevel="0" collapsed="false">
      <c r="A10" s="5" t="s">
        <v>10</v>
      </c>
      <c r="B10" s="11" t="n">
        <v>300000</v>
      </c>
      <c r="C10" s="6" t="s">
        <v>11</v>
      </c>
    </row>
    <row r="11" customFormat="false" ht="15" hidden="false" customHeight="false" outlineLevel="0" collapsed="false">
      <c r="A11" s="5" t="s">
        <v>12</v>
      </c>
      <c r="B11" s="12" t="n">
        <v>0.03</v>
      </c>
      <c r="C11" s="6" t="s">
        <v>13</v>
      </c>
    </row>
    <row r="12" customFormat="false" ht="15" hidden="false" customHeight="false" outlineLevel="0" collapsed="false">
      <c r="A12" s="5" t="s">
        <v>14</v>
      </c>
      <c r="B12" s="11" t="n">
        <v>10000</v>
      </c>
      <c r="C12" s="6" t="s">
        <v>15</v>
      </c>
    </row>
    <row r="13" customFormat="false" ht="15" hidden="false" customHeight="false" outlineLevel="0" collapsed="false">
      <c r="A13" s="9" t="s">
        <v>16</v>
      </c>
      <c r="B13" s="10"/>
      <c r="C13" s="10"/>
    </row>
    <row r="14" customFormat="false" ht="15" hidden="false" customHeight="false" outlineLevel="0" collapsed="false">
      <c r="A14" s="5" t="s">
        <v>17</v>
      </c>
      <c r="B14" s="13" t="n">
        <v>0.25</v>
      </c>
      <c r="C14" s="6" t="s">
        <v>18</v>
      </c>
    </row>
    <row r="15" customFormat="false" ht="15" hidden="false" customHeight="false" outlineLevel="0" collapsed="false">
      <c r="A15" s="5" t="s">
        <v>19</v>
      </c>
      <c r="B15" s="12" t="n">
        <v>0.0625</v>
      </c>
      <c r="C15" s="6" t="s">
        <v>20</v>
      </c>
    </row>
    <row r="16" customFormat="false" ht="15" hidden="false" customHeight="false" outlineLevel="0" collapsed="false">
      <c r="A16" s="5" t="s">
        <v>21</v>
      </c>
      <c r="B16" s="14" t="n">
        <v>30</v>
      </c>
      <c r="C16" s="6"/>
    </row>
    <row r="17" customFormat="false" ht="15" hidden="false" customHeight="false" outlineLevel="0" collapsed="false">
      <c r="A17" s="9" t="s">
        <v>22</v>
      </c>
      <c r="B17" s="10"/>
      <c r="C17" s="10"/>
    </row>
    <row r="18" customFormat="false" ht="15" hidden="false" customHeight="false" outlineLevel="0" collapsed="false">
      <c r="A18" s="5" t="s">
        <v>23</v>
      </c>
      <c r="B18" s="11" t="n">
        <v>3000</v>
      </c>
      <c r="C18" s="6" t="s">
        <v>24</v>
      </c>
    </row>
    <row r="19" customFormat="false" ht="15" hidden="false" customHeight="false" outlineLevel="0" collapsed="false">
      <c r="A19" s="5" t="s">
        <v>25</v>
      </c>
      <c r="B19" s="11" t="n">
        <v>100</v>
      </c>
      <c r="C19" s="6" t="s">
        <v>26</v>
      </c>
    </row>
    <row r="20" customFormat="false" ht="15" hidden="false" customHeight="false" outlineLevel="0" collapsed="false">
      <c r="A20" s="5" t="s">
        <v>27</v>
      </c>
      <c r="B20" s="13" t="n">
        <v>0.06</v>
      </c>
      <c r="C20" s="6" t="s">
        <v>28</v>
      </c>
    </row>
    <row r="21" customFormat="false" ht="15" hidden="false" customHeight="false" outlineLevel="0" collapsed="false">
      <c r="A21" s="5" t="s">
        <v>29</v>
      </c>
      <c r="B21" s="13" t="n">
        <v>0.03</v>
      </c>
      <c r="C21" s="6" t="s">
        <v>30</v>
      </c>
    </row>
    <row r="22" customFormat="false" ht="15" hidden="false" customHeight="false" outlineLevel="0" collapsed="false">
      <c r="A22" s="9" t="s">
        <v>31</v>
      </c>
      <c r="B22" s="10"/>
      <c r="C22" s="10"/>
    </row>
    <row r="23" customFormat="false" ht="15" hidden="false" customHeight="false" outlineLevel="0" collapsed="false">
      <c r="A23" s="5" t="s">
        <v>32</v>
      </c>
      <c r="B23" s="12" t="n">
        <v>0.011</v>
      </c>
      <c r="C23" s="6" t="s">
        <v>33</v>
      </c>
    </row>
    <row r="24" customFormat="false" ht="15" hidden="false" customHeight="false" outlineLevel="0" collapsed="false">
      <c r="A24" s="5" t="s">
        <v>34</v>
      </c>
      <c r="B24" s="11" t="n">
        <v>1800</v>
      </c>
      <c r="C24" s="6"/>
    </row>
    <row r="25" customFormat="false" ht="15" hidden="false" customHeight="false" outlineLevel="0" collapsed="false">
      <c r="A25" s="5" t="s">
        <v>35</v>
      </c>
      <c r="B25" s="13" t="n">
        <v>0.08</v>
      </c>
      <c r="C25" s="6" t="s">
        <v>36</v>
      </c>
    </row>
    <row r="26" customFormat="false" ht="15" hidden="false" customHeight="false" outlineLevel="0" collapsed="false">
      <c r="A26" s="5" t="s">
        <v>37</v>
      </c>
      <c r="B26" s="13" t="n">
        <v>0.05</v>
      </c>
      <c r="C26" s="6" t="s">
        <v>38</v>
      </c>
    </row>
    <row r="27" customFormat="false" ht="15" hidden="false" customHeight="false" outlineLevel="0" collapsed="false">
      <c r="A27" s="5" t="s">
        <v>39</v>
      </c>
      <c r="B27" s="13" t="n">
        <v>0.08</v>
      </c>
      <c r="C27" s="6" t="s">
        <v>40</v>
      </c>
    </row>
    <row r="28" customFormat="false" ht="15" hidden="false" customHeight="false" outlineLevel="0" collapsed="false">
      <c r="A28" s="5" t="s">
        <v>41</v>
      </c>
      <c r="B28" s="11" t="n">
        <v>0</v>
      </c>
      <c r="C28" s="6"/>
    </row>
    <row r="29" customFormat="false" ht="15" hidden="false" customHeight="false" outlineLevel="0" collapsed="false">
      <c r="A29" s="5" t="s">
        <v>42</v>
      </c>
      <c r="B29" s="11" t="n">
        <v>600</v>
      </c>
      <c r="C29" s="6"/>
    </row>
    <row r="30" customFormat="false" ht="15" hidden="false" customHeight="false" outlineLevel="0" collapsed="false">
      <c r="A30" s="5" t="s">
        <v>43</v>
      </c>
      <c r="B30" s="11" t="n">
        <v>0</v>
      </c>
      <c r="C30" s="6" t="s">
        <v>44</v>
      </c>
    </row>
    <row r="31" customFormat="false" ht="15" hidden="false" customHeight="false" outlineLevel="0" collapsed="false">
      <c r="A31" s="5" t="s">
        <v>45</v>
      </c>
      <c r="B31" s="13" t="n">
        <v>0.025</v>
      </c>
      <c r="C31" s="6" t="s">
        <v>30</v>
      </c>
    </row>
    <row r="32" customFormat="false" ht="15" hidden="false" customHeight="false" outlineLevel="0" collapsed="false">
      <c r="A32" s="9" t="s">
        <v>46</v>
      </c>
      <c r="B32" s="10"/>
      <c r="C32" s="10"/>
    </row>
    <row r="33" customFormat="false" ht="15" hidden="false" customHeight="false" outlineLevel="0" collapsed="false">
      <c r="A33" s="5" t="s">
        <v>47</v>
      </c>
      <c r="B33" s="13" t="n">
        <v>0.03</v>
      </c>
      <c r="C33" s="6" t="s">
        <v>48</v>
      </c>
    </row>
    <row r="34" customFormat="false" ht="15" hidden="false" customHeight="false" outlineLevel="0" collapsed="false">
      <c r="A34" s="5" t="s">
        <v>49</v>
      </c>
      <c r="B34" s="13" t="n">
        <v>0.06</v>
      </c>
      <c r="C34" s="6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64"/>
  </cols>
  <sheetData>
    <row r="1" customFormat="false" ht="17.35" hidden="false" customHeight="false" outlineLevel="0" collapsed="false">
      <c r="A1" s="1" t="s">
        <v>51</v>
      </c>
    </row>
    <row r="2" customFormat="false" ht="15" hidden="false" customHeight="false" outlineLevel="0" collapsed="false">
      <c r="A2" s="2" t="s">
        <v>52</v>
      </c>
    </row>
    <row r="4" customFormat="false" ht="15" hidden="false" customHeight="false" outlineLevel="0" collapsed="false">
      <c r="A4" s="7" t="s">
        <v>53</v>
      </c>
      <c r="B4" s="15"/>
      <c r="C4" s="15"/>
    </row>
    <row r="5" customFormat="false" ht="15" hidden="false" customHeight="false" outlineLevel="0" collapsed="false">
      <c r="A5" s="5" t="s">
        <v>54</v>
      </c>
      <c r="B5" s="16" t="n">
        <f aca="false">Inputs!$B$10</f>
        <v>300000</v>
      </c>
      <c r="C5" s="6" t="s">
        <v>55</v>
      </c>
    </row>
    <row r="6" customFormat="false" ht="15" hidden="false" customHeight="false" outlineLevel="0" collapsed="false">
      <c r="A6" s="5" t="s">
        <v>56</v>
      </c>
      <c r="B6" s="17" t="n">
        <f aca="false">$B$5*Inputs!$B$11</f>
        <v>9000</v>
      </c>
      <c r="C6" s="6" t="s">
        <v>57</v>
      </c>
    </row>
    <row r="7" customFormat="false" ht="15" hidden="false" customHeight="false" outlineLevel="0" collapsed="false">
      <c r="A7" s="5" t="s">
        <v>58</v>
      </c>
      <c r="B7" s="16" t="n">
        <f aca="false">Inputs!$B$12</f>
        <v>10000</v>
      </c>
      <c r="C7" s="6" t="s">
        <v>55</v>
      </c>
    </row>
    <row r="8" customFormat="false" ht="15" hidden="false" customHeight="false" outlineLevel="0" collapsed="false">
      <c r="A8" s="18" t="s">
        <v>59</v>
      </c>
      <c r="B8" s="19" t="n">
        <f aca="false">$B$5+$B$6+$B$7</f>
        <v>319000</v>
      </c>
      <c r="C8" s="6"/>
    </row>
    <row r="9" customFormat="false" ht="15" hidden="false" customHeight="false" outlineLevel="0" collapsed="false">
      <c r="A9" s="5" t="s">
        <v>60</v>
      </c>
      <c r="B9" s="17" t="n">
        <f aca="false">$B$5*Inputs!$B$14</f>
        <v>75000</v>
      </c>
      <c r="C9" s="6" t="s">
        <v>61</v>
      </c>
    </row>
    <row r="10" customFormat="false" ht="15" hidden="false" customHeight="false" outlineLevel="0" collapsed="false">
      <c r="A10" s="5" t="s">
        <v>62</v>
      </c>
      <c r="B10" s="17" t="n">
        <f aca="false">$B$5-$B$9</f>
        <v>225000</v>
      </c>
      <c r="C10" s="6" t="s">
        <v>63</v>
      </c>
    </row>
    <row r="11" customFormat="false" ht="15" hidden="false" customHeight="false" outlineLevel="0" collapsed="false">
      <c r="A11" s="18" t="s">
        <v>64</v>
      </c>
      <c r="B11" s="19" t="n">
        <f aca="false">$B$9+$B$6+$B$7</f>
        <v>94000</v>
      </c>
      <c r="C11" s="6" t="s">
        <v>65</v>
      </c>
    </row>
    <row r="12" customFormat="false" ht="15" hidden="false" customHeight="false" outlineLevel="0" collapsed="false">
      <c r="A12" s="5" t="s">
        <v>66</v>
      </c>
      <c r="B12" s="17" t="n">
        <f aca="false">-PMT(Inputs!$B$15/12,Inputs!$B$16*12,$B$10)</f>
        <v>1385.36370095938</v>
      </c>
      <c r="C12" s="6"/>
    </row>
    <row r="13" customFormat="false" ht="15" hidden="false" customHeight="false" outlineLevel="0" collapsed="false">
      <c r="A13" s="3" t="s">
        <v>67</v>
      </c>
      <c r="B13" s="20" t="n">
        <f aca="false">$B$12*12</f>
        <v>16624.3644115126</v>
      </c>
      <c r="C13" s="6"/>
    </row>
    <row r="15" customFormat="false" ht="15" hidden="false" customHeight="false" outlineLevel="0" collapsed="false">
      <c r="A15" s="7" t="s">
        <v>68</v>
      </c>
      <c r="B15" s="15"/>
      <c r="C15" s="15"/>
    </row>
    <row r="16" customFormat="false" ht="15" hidden="false" customHeight="false" outlineLevel="0" collapsed="false">
      <c r="A16" s="5" t="s">
        <v>69</v>
      </c>
      <c r="B16" s="17" t="n">
        <f aca="false">Inputs!$B$18*12</f>
        <v>36000</v>
      </c>
      <c r="C16" s="6" t="s">
        <v>70</v>
      </c>
    </row>
    <row r="17" customFormat="false" ht="15" hidden="false" customHeight="false" outlineLevel="0" collapsed="false">
      <c r="A17" s="5" t="s">
        <v>71</v>
      </c>
      <c r="B17" s="17" t="n">
        <f aca="false">Inputs!$B$19*12</f>
        <v>1200</v>
      </c>
      <c r="C17" s="6" t="s">
        <v>72</v>
      </c>
    </row>
    <row r="18" customFormat="false" ht="15" hidden="false" customHeight="false" outlineLevel="0" collapsed="false">
      <c r="A18" s="18" t="s">
        <v>73</v>
      </c>
      <c r="B18" s="19" t="n">
        <f aca="false">$B$16+$B$17</f>
        <v>37200</v>
      </c>
      <c r="C18" s="6"/>
    </row>
    <row r="19" customFormat="false" ht="15" hidden="false" customHeight="false" outlineLevel="0" collapsed="false">
      <c r="A19" s="5" t="s">
        <v>74</v>
      </c>
      <c r="B19" s="17" t="n">
        <f aca="false">-$B$18*Inputs!$B$20</f>
        <v>-2232</v>
      </c>
      <c r="C19" s="6" t="s">
        <v>75</v>
      </c>
    </row>
    <row r="20" customFormat="false" ht="15" hidden="false" customHeight="false" outlineLevel="0" collapsed="false">
      <c r="A20" s="18" t="s">
        <v>76</v>
      </c>
      <c r="B20" s="19" t="n">
        <f aca="false">$B$18+$B$19</f>
        <v>34968</v>
      </c>
      <c r="C20" s="6"/>
    </row>
    <row r="22" customFormat="false" ht="15" hidden="false" customHeight="false" outlineLevel="0" collapsed="false">
      <c r="A22" s="7" t="s">
        <v>77</v>
      </c>
      <c r="B22" s="15"/>
      <c r="C22" s="15"/>
    </row>
    <row r="23" customFormat="false" ht="15" hidden="false" customHeight="false" outlineLevel="0" collapsed="false">
      <c r="A23" s="5" t="s">
        <v>78</v>
      </c>
      <c r="B23" s="17" t="n">
        <f aca="false">$B$5*Inputs!$B$23</f>
        <v>3300</v>
      </c>
      <c r="C23" s="6" t="s">
        <v>79</v>
      </c>
    </row>
    <row r="24" customFormat="false" ht="15" hidden="false" customHeight="false" outlineLevel="0" collapsed="false">
      <c r="A24" s="5" t="s">
        <v>80</v>
      </c>
      <c r="B24" s="16" t="n">
        <f aca="false">Inputs!$B$24</f>
        <v>1800</v>
      </c>
      <c r="C24" s="6" t="s">
        <v>55</v>
      </c>
    </row>
    <row r="25" customFormat="false" ht="15" hidden="false" customHeight="false" outlineLevel="0" collapsed="false">
      <c r="A25" s="5" t="s">
        <v>81</v>
      </c>
      <c r="B25" s="17" t="n">
        <f aca="false">$B$18*Inputs!$B$25</f>
        <v>2976</v>
      </c>
      <c r="C25" s="6" t="s">
        <v>82</v>
      </c>
    </row>
    <row r="26" customFormat="false" ht="15" hidden="false" customHeight="false" outlineLevel="0" collapsed="false">
      <c r="A26" s="5" t="s">
        <v>83</v>
      </c>
      <c r="B26" s="17" t="n">
        <f aca="false">$B$18*Inputs!$B$26</f>
        <v>1860</v>
      </c>
      <c r="C26" s="6" t="s">
        <v>82</v>
      </c>
    </row>
    <row r="27" customFormat="false" ht="15" hidden="false" customHeight="false" outlineLevel="0" collapsed="false">
      <c r="A27" s="5" t="s">
        <v>84</v>
      </c>
      <c r="B27" s="17" t="n">
        <f aca="false">$B$20*Inputs!$B$27</f>
        <v>2797.44</v>
      </c>
      <c r="C27" s="6" t="s">
        <v>85</v>
      </c>
    </row>
    <row r="28" customFormat="false" ht="15" hidden="false" customHeight="false" outlineLevel="0" collapsed="false">
      <c r="A28" s="5" t="s">
        <v>86</v>
      </c>
      <c r="B28" s="17" t="n">
        <f aca="false">Inputs!$B$28*12</f>
        <v>0</v>
      </c>
      <c r="C28" s="6" t="s">
        <v>87</v>
      </c>
    </row>
    <row r="29" customFormat="false" ht="15" hidden="false" customHeight="false" outlineLevel="0" collapsed="false">
      <c r="A29" s="5" t="s">
        <v>88</v>
      </c>
      <c r="B29" s="16" t="n">
        <f aca="false">Inputs!$B$29</f>
        <v>600</v>
      </c>
      <c r="C29" s="6" t="s">
        <v>55</v>
      </c>
    </row>
    <row r="30" customFormat="false" ht="15" hidden="false" customHeight="false" outlineLevel="0" collapsed="false">
      <c r="A30" s="5" t="s">
        <v>89</v>
      </c>
      <c r="B30" s="16" t="n">
        <f aca="false">Inputs!$B$30</f>
        <v>0</v>
      </c>
      <c r="C30" s="6" t="s">
        <v>55</v>
      </c>
    </row>
    <row r="31" customFormat="false" ht="15" hidden="false" customHeight="false" outlineLevel="0" collapsed="false">
      <c r="A31" s="18" t="s">
        <v>90</v>
      </c>
      <c r="B31" s="19" t="n">
        <f aca="false">SUM($B$23:$B$30)</f>
        <v>13333.44</v>
      </c>
      <c r="C31" s="6"/>
    </row>
    <row r="33" customFormat="false" ht="15" hidden="false" customHeight="false" outlineLevel="0" collapsed="false">
      <c r="A33" s="7" t="s">
        <v>91</v>
      </c>
      <c r="B33" s="15"/>
      <c r="C33" s="15"/>
    </row>
    <row r="34" customFormat="false" ht="15" hidden="false" customHeight="false" outlineLevel="0" collapsed="false">
      <c r="A34" s="3" t="s">
        <v>92</v>
      </c>
      <c r="B34" s="20" t="n">
        <f aca="false">$B$20-$B$31</f>
        <v>21634.56</v>
      </c>
      <c r="C34" s="6" t="s">
        <v>93</v>
      </c>
    </row>
    <row r="35" customFormat="false" ht="15" hidden="false" customHeight="false" outlineLevel="0" collapsed="false">
      <c r="A35" s="5" t="s">
        <v>94</v>
      </c>
      <c r="B35" s="17" t="n">
        <f aca="false">-$B$13</f>
        <v>-16624.3644115126</v>
      </c>
      <c r="C35" s="6"/>
    </row>
    <row r="36" customFormat="false" ht="15" hidden="false" customHeight="false" outlineLevel="0" collapsed="false">
      <c r="A36" s="18" t="s">
        <v>95</v>
      </c>
      <c r="B36" s="19" t="n">
        <f aca="false">$B$34+$B$35</f>
        <v>5010.19558848743</v>
      </c>
      <c r="C36" s="6"/>
    </row>
    <row r="37" customFormat="false" ht="15" hidden="false" customHeight="false" outlineLevel="0" collapsed="false">
      <c r="A37" s="5" t="s">
        <v>96</v>
      </c>
      <c r="B37" s="17" t="n">
        <f aca="false">$B$36/12</f>
        <v>417.516299040619</v>
      </c>
      <c r="C37" s="6"/>
    </row>
    <row r="39" customFormat="false" ht="15" hidden="false" customHeight="false" outlineLevel="0" collapsed="false">
      <c r="A39" s="7" t="s">
        <v>97</v>
      </c>
      <c r="B39" s="15"/>
      <c r="C39" s="15"/>
    </row>
    <row r="40" customFormat="false" ht="15" hidden="false" customHeight="false" outlineLevel="0" collapsed="false">
      <c r="A40" s="5" t="s">
        <v>98</v>
      </c>
      <c r="B40" s="21" t="n">
        <f aca="false">IFERROR($B$18/$B$5,"N/A")</f>
        <v>0.124</v>
      </c>
      <c r="C40" s="6" t="s">
        <v>99</v>
      </c>
    </row>
    <row r="41" customFormat="false" ht="15" hidden="false" customHeight="false" outlineLevel="0" collapsed="false">
      <c r="A41" s="5" t="s">
        <v>100</v>
      </c>
      <c r="B41" s="21" t="n">
        <f aca="false">IFERROR($B$34/$B$5,"N/A")</f>
        <v>0.0721152</v>
      </c>
      <c r="C41" s="6" t="s">
        <v>101</v>
      </c>
    </row>
    <row r="42" customFormat="false" ht="15" hidden="false" customHeight="false" outlineLevel="0" collapsed="false">
      <c r="A42" s="5" t="s">
        <v>102</v>
      </c>
      <c r="B42" s="21" t="n">
        <f aca="false">IFERROR($B$34/$B$8,"N/A")</f>
        <v>0.0678199373040752</v>
      </c>
      <c r="C42" s="6" t="s">
        <v>103</v>
      </c>
    </row>
    <row r="43" customFormat="false" ht="15" hidden="false" customHeight="false" outlineLevel="0" collapsed="false">
      <c r="A43" s="3" t="s">
        <v>104</v>
      </c>
      <c r="B43" s="22" t="n">
        <f aca="false">IFERROR($B$36/$B$11,"N/A")</f>
        <v>0.0532999530690152</v>
      </c>
      <c r="C43" s="6" t="s">
        <v>105</v>
      </c>
    </row>
    <row r="44" customFormat="false" ht="15" hidden="false" customHeight="false" outlineLevel="0" collapsed="false">
      <c r="A44" s="5" t="s">
        <v>106</v>
      </c>
      <c r="B44" s="23" t="n">
        <f aca="false">IFERROR($B$5/$B$18,"N/A")</f>
        <v>8.06451612903226</v>
      </c>
      <c r="C44" s="6" t="s">
        <v>107</v>
      </c>
    </row>
    <row r="45" customFormat="false" ht="15" hidden="false" customHeight="false" outlineLevel="0" collapsed="false">
      <c r="A45" s="5" t="s">
        <v>108</v>
      </c>
      <c r="B45" s="24" t="n">
        <f aca="false">IFERROR($B$31/$B$20,"N/A")</f>
        <v>0.38130404941661</v>
      </c>
      <c r="C45" s="6" t="s">
        <v>109</v>
      </c>
    </row>
    <row r="46" customFormat="false" ht="15" hidden="false" customHeight="false" outlineLevel="0" collapsed="false">
      <c r="A46" s="5" t="s">
        <v>110</v>
      </c>
      <c r="B46" s="25" t="n">
        <f aca="false">IF($B$13=0,"N/A",$B$34/$B$13)</f>
        <v>1.30137667007695</v>
      </c>
      <c r="C46" s="6" t="s">
        <v>111</v>
      </c>
    </row>
    <row r="47" customFormat="false" ht="15" hidden="false" customHeight="false" outlineLevel="0" collapsed="false">
      <c r="A47" s="5" t="s">
        <v>112</v>
      </c>
      <c r="B47" s="24" t="n">
        <f aca="false">IFERROR(($B$31+$B$13)/$B$18,"N/A")</f>
        <v>0.805317322890123</v>
      </c>
      <c r="C47" s="6" t="s">
        <v>113</v>
      </c>
    </row>
    <row r="48" customFormat="false" ht="15" hidden="false" customHeight="false" outlineLevel="0" collapsed="false">
      <c r="A48" s="3" t="s">
        <v>114</v>
      </c>
      <c r="B48" s="26" t="n">
        <f aca="false">IF($B$36&gt;0,$B$11/$B$36,"Never (negative cash flow)")</f>
        <v>18.7617425986315</v>
      </c>
      <c r="C48" s="6" t="s">
        <v>115</v>
      </c>
    </row>
    <row r="49" customFormat="false" ht="15" hidden="false" customHeight="false" outlineLevel="0" collapsed="false">
      <c r="A49" s="5" t="s">
        <v>116</v>
      </c>
      <c r="B49" s="27" t="str">
        <f aca="false">Projection!$B$29</f>
        <v>&gt; 10 yrs</v>
      </c>
      <c r="C49" s="6" t="s">
        <v>117</v>
      </c>
    </row>
    <row r="50" customFormat="false" ht="15" hidden="false" customHeight="false" outlineLevel="0" collapsed="false">
      <c r="A50" s="5" t="s">
        <v>118</v>
      </c>
      <c r="B50" s="28" t="n">
        <f aca="false">Projection!$B$30</f>
        <v>0.135551846341028</v>
      </c>
      <c r="C50" s="6" t="s">
        <v>119</v>
      </c>
    </row>
    <row r="51" customFormat="false" ht="15" hidden="false" customHeight="false" outlineLevel="0" collapsed="false">
      <c r="A51" s="5" t="s">
        <v>120</v>
      </c>
      <c r="B51" s="29" t="n">
        <f aca="false">Projection!$B$31</f>
        <v>2.92228972404743</v>
      </c>
      <c r="C51" s="6" t="s">
        <v>121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12" min="2" style="0" width="13"/>
  </cols>
  <sheetData>
    <row r="1" customFormat="false" ht="17.35" hidden="false" customHeight="false" outlineLevel="0" collapsed="false">
      <c r="A1" s="1" t="s">
        <v>122</v>
      </c>
    </row>
    <row r="2" customFormat="false" ht="15" hidden="false" customHeight="false" outlineLevel="0" collapsed="false">
      <c r="A2" s="2" t="s">
        <v>123</v>
      </c>
    </row>
    <row r="4" customFormat="false" ht="15" hidden="false" customHeight="false" outlineLevel="0" collapsed="false">
      <c r="A4" s="7" t="s">
        <v>124</v>
      </c>
      <c r="B4" s="30" t="n">
        <v>0</v>
      </c>
      <c r="C4" s="30" t="n">
        <v>1</v>
      </c>
      <c r="D4" s="30" t="n">
        <v>2</v>
      </c>
      <c r="E4" s="30" t="n">
        <v>3</v>
      </c>
      <c r="F4" s="30" t="n">
        <v>4</v>
      </c>
      <c r="G4" s="30" t="n">
        <v>5</v>
      </c>
      <c r="H4" s="30" t="n">
        <v>6</v>
      </c>
      <c r="I4" s="30" t="n">
        <v>7</v>
      </c>
      <c r="J4" s="30" t="n">
        <v>8</v>
      </c>
      <c r="K4" s="30" t="n">
        <v>9</v>
      </c>
      <c r="L4" s="30" t="n">
        <v>10</v>
      </c>
    </row>
    <row r="5" customFormat="false" ht="15" hidden="false" customHeight="false" outlineLevel="0" collapsed="false">
      <c r="A5" s="5" t="s">
        <v>125</v>
      </c>
      <c r="C5" s="17" t="n">
        <f aca="false">Analysis!$B$18*(1+Inputs!$B$21)^(C$4-1)</f>
        <v>37200</v>
      </c>
      <c r="D5" s="17" t="n">
        <f aca="false">Analysis!$B$18*(1+Inputs!$B$21)^(D$4-1)</f>
        <v>38316</v>
      </c>
      <c r="E5" s="17" t="n">
        <f aca="false">Analysis!$B$18*(1+Inputs!$B$21)^(E$4-1)</f>
        <v>39465.48</v>
      </c>
      <c r="F5" s="17" t="n">
        <f aca="false">Analysis!$B$18*(1+Inputs!$B$21)^(F$4-1)</f>
        <v>40649.4444</v>
      </c>
      <c r="G5" s="17" t="n">
        <f aca="false">Analysis!$B$18*(1+Inputs!$B$21)^(G$4-1)</f>
        <v>41868.927732</v>
      </c>
      <c r="H5" s="17" t="n">
        <f aca="false">Analysis!$B$18*(1+Inputs!$B$21)^(H$4-1)</f>
        <v>43124.99556396</v>
      </c>
      <c r="I5" s="17" t="n">
        <f aca="false">Analysis!$B$18*(1+Inputs!$B$21)^(I$4-1)</f>
        <v>44418.7454308788</v>
      </c>
      <c r="J5" s="17" t="n">
        <f aca="false">Analysis!$B$18*(1+Inputs!$B$21)^(J$4-1)</f>
        <v>45751.3077938052</v>
      </c>
      <c r="K5" s="17" t="n">
        <f aca="false">Analysis!$B$18*(1+Inputs!$B$21)^(K$4-1)</f>
        <v>47123.8470276193</v>
      </c>
      <c r="L5" s="17" t="n">
        <f aca="false">Analysis!$B$18*(1+Inputs!$B$21)^(L$4-1)</f>
        <v>48537.5624384479</v>
      </c>
    </row>
    <row r="6" customFormat="false" ht="15" hidden="false" customHeight="false" outlineLevel="0" collapsed="false">
      <c r="A6" s="5" t="s">
        <v>74</v>
      </c>
      <c r="C6" s="17" t="n">
        <f aca="false">-C5*Inputs!$B$20</f>
        <v>-2232</v>
      </c>
      <c r="D6" s="17" t="n">
        <f aca="false">-D5*Inputs!$B$20</f>
        <v>-2298.96</v>
      </c>
      <c r="E6" s="17" t="n">
        <f aca="false">-E5*Inputs!$B$20</f>
        <v>-2367.9288</v>
      </c>
      <c r="F6" s="17" t="n">
        <f aca="false">-F5*Inputs!$B$20</f>
        <v>-2438.966664</v>
      </c>
      <c r="G6" s="17" t="n">
        <f aca="false">-G5*Inputs!$B$20</f>
        <v>-2512.13566392</v>
      </c>
      <c r="H6" s="17" t="n">
        <f aca="false">-H5*Inputs!$B$20</f>
        <v>-2587.4997338376</v>
      </c>
      <c r="I6" s="17" t="n">
        <f aca="false">-I5*Inputs!$B$20</f>
        <v>-2665.12472585273</v>
      </c>
      <c r="J6" s="17" t="n">
        <f aca="false">-J5*Inputs!$B$20</f>
        <v>-2745.07846762831</v>
      </c>
      <c r="K6" s="17" t="n">
        <f aca="false">-K5*Inputs!$B$20</f>
        <v>-2827.43082165716</v>
      </c>
      <c r="L6" s="17" t="n">
        <f aca="false">-L5*Inputs!$B$20</f>
        <v>-2912.25374630687</v>
      </c>
    </row>
    <row r="7" customFormat="false" ht="15" hidden="false" customHeight="false" outlineLevel="0" collapsed="false">
      <c r="A7" s="3" t="s">
        <v>126</v>
      </c>
      <c r="C7" s="19" t="n">
        <f aca="false">C5+C6</f>
        <v>34968</v>
      </c>
      <c r="D7" s="19" t="n">
        <f aca="false">D5+D6</f>
        <v>36017.04</v>
      </c>
      <c r="E7" s="19" t="n">
        <f aca="false">E5+E6</f>
        <v>37097.5512</v>
      </c>
      <c r="F7" s="19" t="n">
        <f aca="false">F5+F6</f>
        <v>38210.477736</v>
      </c>
      <c r="G7" s="19" t="n">
        <f aca="false">G5+G6</f>
        <v>39356.79206808</v>
      </c>
      <c r="H7" s="19" t="n">
        <f aca="false">H5+H6</f>
        <v>40537.4958301224</v>
      </c>
      <c r="I7" s="19" t="n">
        <f aca="false">I5+I6</f>
        <v>41753.6207050261</v>
      </c>
      <c r="J7" s="19" t="n">
        <f aca="false">J5+J6</f>
        <v>43006.2293261769</v>
      </c>
      <c r="K7" s="19" t="n">
        <f aca="false">K5+K6</f>
        <v>44296.4162059622</v>
      </c>
      <c r="L7" s="19" t="n">
        <f aca="false">L5+L6</f>
        <v>45625.308692141</v>
      </c>
    </row>
    <row r="8" customFormat="false" ht="15" hidden="false" customHeight="false" outlineLevel="0" collapsed="false">
      <c r="A8" s="5" t="s">
        <v>127</v>
      </c>
      <c r="C8" s="17" t="n">
        <f aca="false">-Analysis!$B$31*(1+Inputs!$B$31)^(C$4-1)</f>
        <v>-13333.44</v>
      </c>
      <c r="D8" s="17" t="n">
        <f aca="false">-Analysis!$B$31*(1+Inputs!$B$31)^(D$4-1)</f>
        <v>-13666.776</v>
      </c>
      <c r="E8" s="17" t="n">
        <f aca="false">-Analysis!$B$31*(1+Inputs!$B$31)^(E$4-1)</f>
        <v>-14008.4454</v>
      </c>
      <c r="F8" s="17" t="n">
        <f aca="false">-Analysis!$B$31*(1+Inputs!$B$31)^(F$4-1)</f>
        <v>-14358.656535</v>
      </c>
      <c r="G8" s="17" t="n">
        <f aca="false">-Analysis!$B$31*(1+Inputs!$B$31)^(G$4-1)</f>
        <v>-14717.622948375</v>
      </c>
      <c r="H8" s="17" t="n">
        <f aca="false">-Analysis!$B$31*(1+Inputs!$B$31)^(H$4-1)</f>
        <v>-15085.5635220844</v>
      </c>
      <c r="I8" s="17" t="n">
        <f aca="false">-Analysis!$B$31*(1+Inputs!$B$31)^(I$4-1)</f>
        <v>-15462.7026101365</v>
      </c>
      <c r="J8" s="17" t="n">
        <f aca="false">-Analysis!$B$31*(1+Inputs!$B$31)^(J$4-1)</f>
        <v>-15849.2701753899</v>
      </c>
      <c r="K8" s="17" t="n">
        <f aca="false">-Analysis!$B$31*(1+Inputs!$B$31)^(K$4-1)</f>
        <v>-16245.5019297746</v>
      </c>
      <c r="L8" s="17" t="n">
        <f aca="false">-Analysis!$B$31*(1+Inputs!$B$31)^(L$4-1)</f>
        <v>-16651.639478019</v>
      </c>
    </row>
    <row r="9" customFormat="false" ht="15" hidden="false" customHeight="false" outlineLevel="0" collapsed="false">
      <c r="A9" s="3" t="s">
        <v>92</v>
      </c>
      <c r="C9" s="19" t="n">
        <f aca="false">C7+C8</f>
        <v>21634.56</v>
      </c>
      <c r="D9" s="19" t="n">
        <f aca="false">D7+D8</f>
        <v>22350.264</v>
      </c>
      <c r="E9" s="19" t="n">
        <f aca="false">E7+E8</f>
        <v>23089.1058</v>
      </c>
      <c r="F9" s="19" t="n">
        <f aca="false">F7+F8</f>
        <v>23851.821201</v>
      </c>
      <c r="G9" s="19" t="n">
        <f aca="false">G7+G8</f>
        <v>24639.169119705</v>
      </c>
      <c r="H9" s="19" t="n">
        <f aca="false">H7+H8</f>
        <v>25451.932308038</v>
      </c>
      <c r="I9" s="19" t="n">
        <f aca="false">I7+I8</f>
        <v>26290.9180948896</v>
      </c>
      <c r="J9" s="19" t="n">
        <f aca="false">J7+J8</f>
        <v>27156.959150787</v>
      </c>
      <c r="K9" s="19" t="n">
        <f aca="false">K7+K8</f>
        <v>28050.9142761875</v>
      </c>
      <c r="L9" s="19" t="n">
        <f aca="false">L7+L8</f>
        <v>28973.669214122</v>
      </c>
    </row>
    <row r="10" customFormat="false" ht="15" hidden="false" customHeight="false" outlineLevel="0" collapsed="false">
      <c r="A10" s="5" t="s">
        <v>128</v>
      </c>
      <c r="C10" s="17" t="n">
        <f aca="false">-Analysis!$B$13</f>
        <v>-16624.3644115126</v>
      </c>
      <c r="D10" s="17" t="n">
        <f aca="false">-Analysis!$B$13</f>
        <v>-16624.3644115126</v>
      </c>
      <c r="E10" s="17" t="n">
        <f aca="false">-Analysis!$B$13</f>
        <v>-16624.3644115126</v>
      </c>
      <c r="F10" s="17" t="n">
        <f aca="false">-Analysis!$B$13</f>
        <v>-16624.3644115126</v>
      </c>
      <c r="G10" s="17" t="n">
        <f aca="false">-Analysis!$B$13</f>
        <v>-16624.3644115126</v>
      </c>
      <c r="H10" s="17" t="n">
        <f aca="false">-Analysis!$B$13</f>
        <v>-16624.3644115126</v>
      </c>
      <c r="I10" s="17" t="n">
        <f aca="false">-Analysis!$B$13</f>
        <v>-16624.3644115126</v>
      </c>
      <c r="J10" s="17" t="n">
        <f aca="false">-Analysis!$B$13</f>
        <v>-16624.3644115126</v>
      </c>
      <c r="K10" s="17" t="n">
        <f aca="false">-Analysis!$B$13</f>
        <v>-16624.3644115126</v>
      </c>
      <c r="L10" s="17" t="n">
        <f aca="false">-Analysis!$B$13</f>
        <v>-16624.3644115126</v>
      </c>
    </row>
    <row r="11" customFormat="false" ht="15" hidden="false" customHeight="false" outlineLevel="0" collapsed="false">
      <c r="A11" s="3" t="s">
        <v>129</v>
      </c>
      <c r="C11" s="19" t="n">
        <f aca="false">C9+C10</f>
        <v>5010.19558848743</v>
      </c>
      <c r="D11" s="19" t="n">
        <f aca="false">D9+D10</f>
        <v>5725.89958848743</v>
      </c>
      <c r="E11" s="19" t="n">
        <f aca="false">E9+E10</f>
        <v>6464.74138848743</v>
      </c>
      <c r="F11" s="19" t="n">
        <f aca="false">F9+F10</f>
        <v>7227.45678948743</v>
      </c>
      <c r="G11" s="19" t="n">
        <f aca="false">G9+G10</f>
        <v>8014.80470819244</v>
      </c>
      <c r="H11" s="19" t="n">
        <f aca="false">H9+H10</f>
        <v>8827.56789652546</v>
      </c>
      <c r="I11" s="19" t="n">
        <f aca="false">I9+I10</f>
        <v>9666.55368337703</v>
      </c>
      <c r="J11" s="19" t="n">
        <f aca="false">J9+J10</f>
        <v>10532.5947392744</v>
      </c>
      <c r="K11" s="19" t="n">
        <f aca="false">K9+K10</f>
        <v>11426.549864675</v>
      </c>
      <c r="L11" s="19" t="n">
        <f aca="false">L9+L10</f>
        <v>12349.3048026095</v>
      </c>
    </row>
    <row r="12" customFormat="false" ht="15" hidden="false" customHeight="false" outlineLevel="0" collapsed="false">
      <c r="A12" s="5" t="s">
        <v>130</v>
      </c>
      <c r="C12" s="17" t="n">
        <f aca="false">SUM($C11:C11)</f>
        <v>5010.19558848743</v>
      </c>
      <c r="D12" s="17" t="n">
        <f aca="false">SUM($C11:D11)</f>
        <v>10736.0951769749</v>
      </c>
      <c r="E12" s="17" t="n">
        <f aca="false">SUM($C11:E11)</f>
        <v>17200.8365654623</v>
      </c>
      <c r="F12" s="17" t="n">
        <f aca="false">SUM($C11:F11)</f>
        <v>24428.2933549497</v>
      </c>
      <c r="G12" s="17" t="n">
        <f aca="false">SUM($C11:G11)</f>
        <v>32443.0980631422</v>
      </c>
      <c r="H12" s="17" t="n">
        <f aca="false">SUM($C11:H11)</f>
        <v>41270.6659596676</v>
      </c>
      <c r="I12" s="17" t="n">
        <f aca="false">SUM($C11:I11)</f>
        <v>50937.2196430447</v>
      </c>
      <c r="J12" s="17" t="n">
        <f aca="false">SUM($C11:J11)</f>
        <v>61469.8143823191</v>
      </c>
      <c r="K12" s="17" t="n">
        <f aca="false">SUM($C11:K11)</f>
        <v>72896.364246994</v>
      </c>
      <c r="L12" s="17" t="n">
        <f aca="false">SUM($C11:L11)</f>
        <v>85245.6690496035</v>
      </c>
    </row>
    <row r="13" customFormat="false" ht="15" hidden="false" customHeight="false" outlineLevel="0" collapsed="false">
      <c r="A13" s="5" t="s">
        <v>131</v>
      </c>
      <c r="C13" s="17" t="n">
        <f aca="false">C12-Analysis!$B$11</f>
        <v>-88989.8044115126</v>
      </c>
      <c r="D13" s="17" t="n">
        <f aca="false">D12-Analysis!$B$11</f>
        <v>-83263.9048230251</v>
      </c>
      <c r="E13" s="17" t="n">
        <f aca="false">E12-Analysis!$B$11</f>
        <v>-76799.1634345377</v>
      </c>
      <c r="F13" s="17" t="n">
        <f aca="false">F12-Analysis!$B$11</f>
        <v>-69571.7066450503</v>
      </c>
      <c r="G13" s="17" t="n">
        <f aca="false">G12-Analysis!$B$11</f>
        <v>-61556.9019368578</v>
      </c>
      <c r="H13" s="17" t="n">
        <f aca="false">H12-Analysis!$B$11</f>
        <v>-52729.3340403324</v>
      </c>
      <c r="I13" s="17" t="n">
        <f aca="false">I12-Analysis!$B$11</f>
        <v>-43062.7803569554</v>
      </c>
      <c r="J13" s="17" t="n">
        <f aca="false">J12-Analysis!$B$11</f>
        <v>-32530.1856176809</v>
      </c>
      <c r="K13" s="17" t="n">
        <f aca="false">K12-Analysis!$B$11</f>
        <v>-21103.635753006</v>
      </c>
      <c r="L13" s="17" t="n">
        <f aca="false">L12-Analysis!$B$11</f>
        <v>-8754.33095039651</v>
      </c>
    </row>
    <row r="14" customFormat="false" ht="15" hidden="false" customHeight="false" outlineLevel="0" collapsed="false">
      <c r="A14" s="5" t="s">
        <v>132</v>
      </c>
      <c r="C14" s="31" t="n">
        <f aca="false">IF(C12&gt;=Analysis!$B$11,1,0)</f>
        <v>0</v>
      </c>
      <c r="D14" s="31" t="n">
        <f aca="false">IF(D12&gt;=Analysis!$B$11,1,0)</f>
        <v>0</v>
      </c>
      <c r="E14" s="31" t="n">
        <f aca="false">IF(E12&gt;=Analysis!$B$11,1,0)</f>
        <v>0</v>
      </c>
      <c r="F14" s="31" t="n">
        <f aca="false">IF(F12&gt;=Analysis!$B$11,1,0)</f>
        <v>0</v>
      </c>
      <c r="G14" s="31" t="n">
        <f aca="false">IF(G12&gt;=Analysis!$B$11,1,0)</f>
        <v>0</v>
      </c>
      <c r="H14" s="31" t="n">
        <f aca="false">IF(H12&gt;=Analysis!$B$11,1,0)</f>
        <v>0</v>
      </c>
      <c r="I14" s="31" t="n">
        <f aca="false">IF(I12&gt;=Analysis!$B$11,1,0)</f>
        <v>0</v>
      </c>
      <c r="J14" s="31" t="n">
        <f aca="false">IF(J12&gt;=Analysis!$B$11,1,0)</f>
        <v>0</v>
      </c>
      <c r="K14" s="31" t="n">
        <f aca="false">IF(K12&gt;=Analysis!$B$11,1,0)</f>
        <v>0</v>
      </c>
      <c r="L14" s="31" t="n">
        <f aca="false">IF(L12&gt;=Analysis!$B$11,1,0)</f>
        <v>0</v>
      </c>
    </row>
    <row r="15" customFormat="false" ht="15" hidden="false" customHeight="false" outlineLevel="0" collapsed="false">
      <c r="A15" s="5" t="s">
        <v>104</v>
      </c>
      <c r="C15" s="21" t="n">
        <f aca="false">IFERROR(C11/Analysis!$B$11,"N/A")</f>
        <v>0.0532999530690152</v>
      </c>
      <c r="D15" s="21" t="n">
        <f aca="false">IFERROR(D11/Analysis!$B$11,"N/A")</f>
        <v>0.0609138254094408</v>
      </c>
      <c r="E15" s="21" t="n">
        <f aca="false">IFERROR(E11/Analysis!$B$11,"N/A")</f>
        <v>0.0687738445583769</v>
      </c>
      <c r="F15" s="21" t="n">
        <f aca="false">IFERROR(F11/Analysis!$B$11,"N/A")</f>
        <v>0.0768878381860365</v>
      </c>
      <c r="G15" s="21" t="n">
        <f aca="false">IFERROR(G11/Analysis!$B$11,"N/A")</f>
        <v>0.0852638798743876</v>
      </c>
      <c r="H15" s="21" t="n">
        <f aca="false">IFERROR(H11/Analysis!$B$11,"N/A")</f>
        <v>0.0939102967715475</v>
      </c>
      <c r="I15" s="21" t="n">
        <f aca="false">IFERROR(I11/Analysis!$B$11,"N/A")</f>
        <v>0.102835677482734</v>
      </c>
      <c r="J15" s="21" t="n">
        <f aca="false">IFERROR(J11/Analysis!$B$11,"N/A")</f>
        <v>0.112048880205047</v>
      </c>
      <c r="K15" s="21" t="n">
        <f aca="false">IFERROR(K11/Analysis!$B$11,"N/A")</f>
        <v>0.121559041113563</v>
      </c>
      <c r="L15" s="21" t="n">
        <f aca="false">IFERROR(L11/Analysis!$B$11,"N/A")</f>
        <v>0.131375583006484</v>
      </c>
    </row>
    <row r="16" customFormat="false" ht="15" hidden="false" customHeight="false" outlineLevel="0" collapsed="false">
      <c r="A16" s="5" t="s">
        <v>133</v>
      </c>
      <c r="C16" s="25" t="n">
        <f aca="false">IF(C10=0,"N/A",C9/-C10)</f>
        <v>1.30137667007695</v>
      </c>
      <c r="D16" s="25" t="n">
        <f aca="false">IF(D10=0,"N/A",D9/-D10)</f>
        <v>1.34442818063602</v>
      </c>
      <c r="E16" s="25" t="n">
        <f aca="false">IF(E10=0,"N/A",E9/-E10)</f>
        <v>1.38887149177327</v>
      </c>
      <c r="F16" s="25" t="n">
        <f aca="false">IF(F10=0,"N/A",F9/-F10)</f>
        <v>1.4347508638876</v>
      </c>
      <c r="G16" s="25" t="n">
        <f aca="false">IF(G10=0,"N/A",G9/-G10)</f>
        <v>1.48211194784939</v>
      </c>
      <c r="H16" s="25" t="n">
        <f aca="false">IF(H10=0,"N/A",H9/-H10)</f>
        <v>1.53100182828116</v>
      </c>
      <c r="I16" s="25" t="n">
        <f aca="false">IF(I10=0,"N/A",I9/-I10)</f>
        <v>1.58146906817579</v>
      </c>
      <c r="J16" s="25" t="n">
        <f aca="false">IF(J10=0,"N/A",J9/-J10)</f>
        <v>1.63356375489342</v>
      </c>
      <c r="K16" s="25" t="n">
        <f aca="false">IF(K10=0,"N/A",K9/-K10)</f>
        <v>1.68733754757938</v>
      </c>
      <c r="L16" s="25" t="n">
        <f aca="false">IF(L10=0,"N/A",L9/-L10)</f>
        <v>1.7428437260469</v>
      </c>
    </row>
    <row r="18" customFormat="false" ht="15" hidden="false" customHeight="false" outlineLevel="0" collapsed="false">
      <c r="A18" s="7" t="s">
        <v>134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customFormat="false" ht="15" hidden="false" customHeight="false" outlineLevel="0" collapsed="false">
      <c r="A19" s="5" t="s">
        <v>135</v>
      </c>
      <c r="B19" s="17" t="n">
        <f aca="false">Analysis!$B$5*(1+Inputs!$B$33)^B$4</f>
        <v>300000</v>
      </c>
      <c r="C19" s="17" t="n">
        <f aca="false">Analysis!$B$5*(1+Inputs!$B$33)^C$4</f>
        <v>309000</v>
      </c>
      <c r="D19" s="17" t="n">
        <f aca="false">Analysis!$B$5*(1+Inputs!$B$33)^D$4</f>
        <v>318270</v>
      </c>
      <c r="E19" s="17" t="n">
        <f aca="false">Analysis!$B$5*(1+Inputs!$B$33)^E$4</f>
        <v>327818.1</v>
      </c>
      <c r="F19" s="17" t="n">
        <f aca="false">Analysis!$B$5*(1+Inputs!$B$33)^F$4</f>
        <v>337652.643</v>
      </c>
      <c r="G19" s="17" t="n">
        <f aca="false">Analysis!$B$5*(1+Inputs!$B$33)^G$4</f>
        <v>347782.22229</v>
      </c>
      <c r="H19" s="17" t="n">
        <f aca="false">Analysis!$B$5*(1+Inputs!$B$33)^H$4</f>
        <v>358215.6889587</v>
      </c>
      <c r="I19" s="17" t="n">
        <f aca="false">Analysis!$B$5*(1+Inputs!$B$33)^I$4</f>
        <v>368962.159627461</v>
      </c>
      <c r="J19" s="17" t="n">
        <f aca="false">Analysis!$B$5*(1+Inputs!$B$33)^J$4</f>
        <v>380031.024416285</v>
      </c>
      <c r="K19" s="17" t="n">
        <f aca="false">Analysis!$B$5*(1+Inputs!$B$33)^K$4</f>
        <v>391431.955148773</v>
      </c>
      <c r="L19" s="17" t="n">
        <f aca="false">Analysis!$B$5*(1+Inputs!$B$33)^L$4</f>
        <v>403174.913803237</v>
      </c>
    </row>
    <row r="20" customFormat="false" ht="15" hidden="false" customHeight="false" outlineLevel="0" collapsed="false">
      <c r="A20" s="5" t="s">
        <v>136</v>
      </c>
      <c r="B20" s="17" t="n">
        <f aca="false">MAX(0,-FV(Inputs!$B$15/12,B$4*12,-Analysis!$B$12,Analysis!$B$10))</f>
        <v>225000</v>
      </c>
      <c r="C20" s="17" t="n">
        <f aca="false">MAX(0,-FV(Inputs!$B$15/12,C$4*12,-Analysis!$B$12,Analysis!$B$10))</f>
        <v>222363.459716417</v>
      </c>
      <c r="D20" s="17" t="n">
        <f aca="false">MAX(0,-FV(Inputs!$B$15/12,D$4*12,-Analysis!$B$12,Analysis!$B$10))</f>
        <v>219557.332377512</v>
      </c>
      <c r="E20" s="17" t="n">
        <f aca="false">MAX(0,-FV(Inputs!$B$15/12,E$4*12,-Analysis!$B$12,Analysis!$B$10))</f>
        <v>216570.709836152</v>
      </c>
      <c r="F20" s="17" t="n">
        <f aca="false">MAX(0,-FV(Inputs!$B$15/12,F$4*12,-Analysis!$B$12,Analysis!$B$10))</f>
        <v>213391.982313387</v>
      </c>
      <c r="G20" s="17" t="n">
        <f aca="false">MAX(0,-FV(Inputs!$B$15/12,G$4*12,-Analysis!$B$12,Analysis!$B$10))</f>
        <v>210008.793268219</v>
      </c>
      <c r="H20" s="17" t="n">
        <f aca="false">MAX(0,-FV(Inputs!$B$15/12,H$4*12,-Analysis!$B$12,Analysis!$B$10))</f>
        <v>206407.991364509</v>
      </c>
      <c r="I20" s="17" t="n">
        <f aca="false">MAX(0,-FV(Inputs!$B$15/12,I$4*12,-Analysis!$B$12,Analysis!$B$10))</f>
        <v>202575.579348315</v>
      </c>
      <c r="J20" s="17" t="n">
        <f aca="false">MAX(0,-FV(Inputs!$B$15/12,J$4*12,-Analysis!$B$12,Analysis!$B$10))</f>
        <v>198496.65963692</v>
      </c>
      <c r="K20" s="17" t="n">
        <f aca="false">MAX(0,-FV(Inputs!$B$15/12,K$4*12,-Analysis!$B$12,Analysis!$B$10))</f>
        <v>194155.376408054</v>
      </c>
      <c r="L20" s="17" t="n">
        <f aca="false">MAX(0,-FV(Inputs!$B$15/12,L$4*12,-Analysis!$B$12,Analysis!$B$10))</f>
        <v>189534.853964188</v>
      </c>
    </row>
    <row r="21" customFormat="false" ht="15" hidden="false" customHeight="false" outlineLevel="0" collapsed="false">
      <c r="A21" s="3" t="s">
        <v>137</v>
      </c>
      <c r="B21" s="19" t="n">
        <f aca="false">B19-B20</f>
        <v>75000</v>
      </c>
      <c r="C21" s="19" t="n">
        <f aca="false">C19-C20</f>
        <v>86636.5402835826</v>
      </c>
      <c r="D21" s="19" t="n">
        <f aca="false">D19-D20</f>
        <v>98712.667622488</v>
      </c>
      <c r="E21" s="19" t="n">
        <f aca="false">E19-E20</f>
        <v>111247.390163848</v>
      </c>
      <c r="F21" s="19" t="n">
        <f aca="false">F19-F20</f>
        <v>124260.660686613</v>
      </c>
      <c r="G21" s="19" t="n">
        <f aca="false">G19-G20</f>
        <v>137773.429021781</v>
      </c>
      <c r="H21" s="19" t="n">
        <f aca="false">H19-H20</f>
        <v>151807.697594191</v>
      </c>
      <c r="I21" s="19" t="n">
        <f aca="false">I19-I20</f>
        <v>166386.580279146</v>
      </c>
      <c r="J21" s="19" t="n">
        <f aca="false">J19-J20</f>
        <v>181534.364779365</v>
      </c>
      <c r="K21" s="19" t="n">
        <f aca="false">K19-K20</f>
        <v>197276.57874072</v>
      </c>
      <c r="L21" s="19" t="n">
        <f aca="false">L19-L20</f>
        <v>213640.059839049</v>
      </c>
    </row>
    <row r="23" customFormat="false" ht="15" hidden="false" customHeight="false" outlineLevel="0" collapsed="false">
      <c r="A23" s="7" t="s">
        <v>138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customFormat="false" ht="15" hidden="false" customHeight="false" outlineLevel="0" collapsed="false">
      <c r="A24" s="5" t="s">
        <v>139</v>
      </c>
      <c r="C24" s="17" t="n">
        <f aca="false">-C19*Inputs!$B$34</f>
        <v>-18540</v>
      </c>
      <c r="D24" s="17" t="n">
        <f aca="false">-D19*Inputs!$B$34</f>
        <v>-19096.2</v>
      </c>
      <c r="E24" s="17" t="n">
        <f aca="false">-E19*Inputs!$B$34</f>
        <v>-19669.086</v>
      </c>
      <c r="F24" s="17" t="n">
        <f aca="false">-F19*Inputs!$B$34</f>
        <v>-20259.15858</v>
      </c>
      <c r="G24" s="17" t="n">
        <f aca="false">-G19*Inputs!$B$34</f>
        <v>-20866.9333374</v>
      </c>
      <c r="H24" s="17" t="n">
        <f aca="false">-H19*Inputs!$B$34</f>
        <v>-21492.941337522</v>
      </c>
      <c r="I24" s="17" t="n">
        <f aca="false">-I19*Inputs!$B$34</f>
        <v>-22137.7295776477</v>
      </c>
      <c r="J24" s="17" t="n">
        <f aca="false">-J19*Inputs!$B$34</f>
        <v>-22801.8614649771</v>
      </c>
      <c r="K24" s="17" t="n">
        <f aca="false">-K19*Inputs!$B$34</f>
        <v>-23485.9173089264</v>
      </c>
      <c r="L24" s="17" t="n">
        <f aca="false">-L19*Inputs!$B$34</f>
        <v>-24190.4948281942</v>
      </c>
    </row>
    <row r="25" customFormat="false" ht="15" hidden="false" customHeight="false" outlineLevel="0" collapsed="false">
      <c r="A25" s="3" t="s">
        <v>140</v>
      </c>
      <c r="C25" s="20" t="n">
        <f aca="false">C19+C24-C20</f>
        <v>68096.5402835826</v>
      </c>
      <c r="D25" s="20" t="n">
        <f aca="false">D19+D24-D20</f>
        <v>79616.467622488</v>
      </c>
      <c r="E25" s="20" t="n">
        <f aca="false">E19+E24-E20</f>
        <v>91578.3041638483</v>
      </c>
      <c r="F25" s="20" t="n">
        <f aca="false">F19+F24-F20</f>
        <v>104001.502106613</v>
      </c>
      <c r="G25" s="20" t="n">
        <f aca="false">G19+G24-G20</f>
        <v>116906.495684381</v>
      </c>
      <c r="H25" s="20" t="n">
        <f aca="false">H19+H24-H20</f>
        <v>130314.756256669</v>
      </c>
      <c r="I25" s="20" t="n">
        <f aca="false">I19+I24-I20</f>
        <v>144248.850701499</v>
      </c>
      <c r="J25" s="20" t="n">
        <f aca="false">J19+J24-J20</f>
        <v>158732.503314388</v>
      </c>
      <c r="K25" s="20" t="n">
        <f aca="false">K19+K24-K20</f>
        <v>173790.661431793</v>
      </c>
      <c r="L25" s="20" t="n">
        <f aca="false">L19+L24-L20</f>
        <v>189449.565010855</v>
      </c>
    </row>
    <row r="26" customFormat="false" ht="15" hidden="false" customHeight="false" outlineLevel="0" collapsed="false">
      <c r="A26" s="3" t="s">
        <v>141</v>
      </c>
      <c r="B26" s="20" t="n">
        <f aca="false">-Analysis!$B$11</f>
        <v>-94000</v>
      </c>
      <c r="C26" s="20" t="n">
        <f aca="false">C11</f>
        <v>5010.19558848743</v>
      </c>
      <c r="D26" s="20" t="n">
        <f aca="false">D11</f>
        <v>5725.89958848743</v>
      </c>
      <c r="E26" s="20" t="n">
        <f aca="false">E11</f>
        <v>6464.74138848743</v>
      </c>
      <c r="F26" s="20" t="n">
        <f aca="false">F11</f>
        <v>7227.45678948743</v>
      </c>
      <c r="G26" s="20" t="n">
        <f aca="false">G11</f>
        <v>8014.80470819244</v>
      </c>
      <c r="H26" s="20" t="n">
        <f aca="false">H11</f>
        <v>8827.56789652546</v>
      </c>
      <c r="I26" s="20" t="n">
        <f aca="false">I11</f>
        <v>9666.55368337703</v>
      </c>
      <c r="J26" s="20" t="n">
        <f aca="false">J11</f>
        <v>10532.5947392744</v>
      </c>
      <c r="K26" s="20" t="n">
        <f aca="false">K11</f>
        <v>11426.549864675</v>
      </c>
      <c r="L26" s="20" t="n">
        <f aca="false">L11+L25</f>
        <v>201798.869813464</v>
      </c>
    </row>
    <row r="28" customFormat="false" ht="15" hidden="false" customHeight="false" outlineLevel="0" collapsed="false">
      <c r="A28" s="7" t="s">
        <v>142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customFormat="false" ht="15" hidden="false" customHeight="false" outlineLevel="0" collapsed="false">
      <c r="A29" s="5" t="s">
        <v>143</v>
      </c>
      <c r="B29" s="32" t="str">
        <f aca="false">IFERROR(MATCH(1,C14:L14,0),"&gt; 10 yrs")</f>
        <v>&gt; 10 yrs</v>
      </c>
    </row>
    <row r="30" customFormat="false" ht="15" hidden="false" customHeight="false" outlineLevel="0" collapsed="false">
      <c r="A30" s="5" t="s">
        <v>118</v>
      </c>
      <c r="B30" s="22" t="n">
        <f aca="false">IFERROR(IRR(B26:L26),"N/A")</f>
        <v>0.135551846341028</v>
      </c>
    </row>
    <row r="31" customFormat="false" ht="15" hidden="false" customHeight="false" outlineLevel="0" collapsed="false">
      <c r="A31" s="5" t="s">
        <v>120</v>
      </c>
      <c r="B31" s="33" t="n">
        <f aca="false">IFERROR(SUM(C26:L26)/Analysis!$B$11,"N/A")</f>
        <v>2.92228972404743</v>
      </c>
    </row>
    <row r="33" customFormat="false" ht="15" hidden="false" customHeight="false" outlineLevel="0" collapsed="false">
      <c r="A33" s="6" t="s">
        <v>144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6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1" t="s">
        <v>145</v>
      </c>
    </row>
    <row r="2" customFormat="false" ht="15" hidden="false" customHeight="false" outlineLevel="0" collapsed="false">
      <c r="A2" s="2" t="s">
        <v>146</v>
      </c>
    </row>
    <row r="4" customFormat="false" ht="15" hidden="false" customHeight="false" outlineLevel="0" collapsed="false">
      <c r="A4" s="7" t="s">
        <v>147</v>
      </c>
      <c r="B4" s="8" t="s">
        <v>148</v>
      </c>
      <c r="C4" s="8" t="s">
        <v>149</v>
      </c>
      <c r="D4" s="8" t="s">
        <v>150</v>
      </c>
      <c r="E4" s="7" t="s">
        <v>8</v>
      </c>
    </row>
    <row r="5" customFormat="false" ht="15" hidden="false" customHeight="false" outlineLevel="0" collapsed="false">
      <c r="A5" s="7" t="s">
        <v>151</v>
      </c>
      <c r="B5" s="15"/>
      <c r="C5" s="15"/>
      <c r="D5" s="15"/>
      <c r="E5" s="15"/>
    </row>
    <row r="6" customFormat="false" ht="15" hidden="false" customHeight="false" outlineLevel="0" collapsed="false">
      <c r="A6" s="5" t="s">
        <v>10</v>
      </c>
      <c r="B6" s="11" t="n">
        <v>310000</v>
      </c>
      <c r="C6" s="16" t="n">
        <f aca="false">Inputs!$B$10</f>
        <v>300000</v>
      </c>
      <c r="D6" s="11" t="n">
        <v>290000</v>
      </c>
      <c r="E6" s="6" t="s">
        <v>152</v>
      </c>
    </row>
    <row r="7" customFormat="false" ht="15" hidden="false" customHeight="false" outlineLevel="0" collapsed="false">
      <c r="A7" s="5" t="s">
        <v>17</v>
      </c>
      <c r="B7" s="13" t="n">
        <v>0.2</v>
      </c>
      <c r="C7" s="34" t="n">
        <f aca="false">Inputs!$B$14</f>
        <v>0.25</v>
      </c>
      <c r="D7" s="13" t="n">
        <v>0.3</v>
      </c>
    </row>
    <row r="8" customFormat="false" ht="15" hidden="false" customHeight="false" outlineLevel="0" collapsed="false">
      <c r="A8" s="5" t="s">
        <v>153</v>
      </c>
      <c r="B8" s="12" t="n">
        <v>0.0725</v>
      </c>
      <c r="C8" s="28" t="n">
        <f aca="false">Inputs!$B$15</f>
        <v>0.0625</v>
      </c>
      <c r="D8" s="12" t="n">
        <v>0.055</v>
      </c>
    </row>
    <row r="9" customFormat="false" ht="15" hidden="false" customHeight="false" outlineLevel="0" collapsed="false">
      <c r="A9" s="5" t="s">
        <v>23</v>
      </c>
      <c r="B9" s="11" t="n">
        <v>2700</v>
      </c>
      <c r="C9" s="16" t="n">
        <f aca="false">Inputs!$B$18</f>
        <v>3000</v>
      </c>
      <c r="D9" s="11" t="n">
        <v>3300</v>
      </c>
    </row>
    <row r="10" customFormat="false" ht="15" hidden="false" customHeight="false" outlineLevel="0" collapsed="false">
      <c r="A10" s="5" t="s">
        <v>154</v>
      </c>
      <c r="B10" s="13" t="n">
        <v>0.1</v>
      </c>
      <c r="C10" s="34" t="n">
        <f aca="false">Inputs!$B$20</f>
        <v>0.06</v>
      </c>
      <c r="D10" s="13" t="n">
        <v>0.04</v>
      </c>
    </row>
    <row r="11" customFormat="false" ht="15" hidden="false" customHeight="false" outlineLevel="0" collapsed="false">
      <c r="A11" s="5" t="s">
        <v>155</v>
      </c>
      <c r="B11" s="13" t="n">
        <v>0.12</v>
      </c>
      <c r="C11" s="34" t="n">
        <f aca="false">Inputs!$B$25</f>
        <v>0.08</v>
      </c>
      <c r="D11" s="13" t="n">
        <v>0.06</v>
      </c>
    </row>
    <row r="13" customFormat="false" ht="15" hidden="false" customHeight="false" outlineLevel="0" collapsed="false">
      <c r="A13" s="7" t="s">
        <v>156</v>
      </c>
      <c r="B13" s="15"/>
      <c r="C13" s="15"/>
      <c r="D13" s="15"/>
      <c r="E13" s="15"/>
    </row>
    <row r="14" customFormat="false" ht="15" hidden="false" customHeight="false" outlineLevel="0" collapsed="false">
      <c r="A14" s="3" t="s">
        <v>64</v>
      </c>
      <c r="B14" s="20" t="n">
        <f aca="false">B6*(B7+Inputs!$B$11)+Inputs!$B$12</f>
        <v>81300</v>
      </c>
      <c r="C14" s="20" t="n">
        <f aca="false">C6*(C7+Inputs!$B$11)+Inputs!$B$12</f>
        <v>94000</v>
      </c>
      <c r="D14" s="20" t="n">
        <f aca="false">D6*(D7+Inputs!$B$11)+Inputs!$B$12</f>
        <v>105700</v>
      </c>
    </row>
    <row r="15" customFormat="false" ht="15" hidden="false" customHeight="false" outlineLevel="0" collapsed="false">
      <c r="A15" s="5" t="s">
        <v>62</v>
      </c>
      <c r="B15" s="17" t="n">
        <f aca="false">B6*(1-B7)</f>
        <v>248000</v>
      </c>
      <c r="C15" s="17" t="n">
        <f aca="false">C6*(1-C7)</f>
        <v>225000</v>
      </c>
      <c r="D15" s="17" t="n">
        <f aca="false">D6*(1-D7)</f>
        <v>203000</v>
      </c>
    </row>
    <row r="16" customFormat="false" ht="15" hidden="false" customHeight="false" outlineLevel="0" collapsed="false">
      <c r="A16" s="5" t="s">
        <v>67</v>
      </c>
      <c r="B16" s="17" t="n">
        <f aca="false">-PMT(B8/12,Inputs!$B$16*12,B15)*12</f>
        <v>20301.5660944723</v>
      </c>
      <c r="C16" s="17" t="n">
        <f aca="false">-PMT(C8/12,Inputs!$B$16*12,C15)*12</f>
        <v>16624.3644115126</v>
      </c>
      <c r="D16" s="17" t="n">
        <f aca="false">-PMT(D8/12,Inputs!$B$16*12,D15)*12</f>
        <v>13831.340072813</v>
      </c>
    </row>
    <row r="17" customFormat="false" ht="15" hidden="false" customHeight="false" outlineLevel="0" collapsed="false">
      <c r="A17" s="5" t="s">
        <v>125</v>
      </c>
      <c r="B17" s="17" t="n">
        <f aca="false">(B9+Inputs!$B$19)*12</f>
        <v>33600</v>
      </c>
      <c r="C17" s="17" t="n">
        <f aca="false">(C9+Inputs!$B$19)*12</f>
        <v>37200</v>
      </c>
      <c r="D17" s="17" t="n">
        <f aca="false">(D9+Inputs!$B$19)*12</f>
        <v>40800</v>
      </c>
    </row>
    <row r="18" customFormat="false" ht="15" hidden="false" customHeight="false" outlineLevel="0" collapsed="false">
      <c r="A18" s="5" t="s">
        <v>74</v>
      </c>
      <c r="B18" s="17" t="n">
        <f aca="false">-B17*B10</f>
        <v>-3360</v>
      </c>
      <c r="C18" s="17" t="n">
        <f aca="false">-C17*C10</f>
        <v>-2232</v>
      </c>
      <c r="D18" s="17" t="n">
        <f aca="false">-D17*D10</f>
        <v>-1632</v>
      </c>
    </row>
    <row r="19" customFormat="false" ht="15" hidden="false" customHeight="false" outlineLevel="0" collapsed="false">
      <c r="A19" s="3" t="s">
        <v>126</v>
      </c>
      <c r="B19" s="20" t="n">
        <f aca="false">B17+B18</f>
        <v>30240</v>
      </c>
      <c r="C19" s="20" t="n">
        <f aca="false">C17+C18</f>
        <v>34968</v>
      </c>
      <c r="D19" s="20" t="n">
        <f aca="false">D17+D18</f>
        <v>39168</v>
      </c>
    </row>
    <row r="20" customFormat="false" ht="15" hidden="false" customHeight="false" outlineLevel="0" collapsed="false">
      <c r="A20" s="5" t="s">
        <v>90</v>
      </c>
      <c r="B20" s="17" t="n">
        <f aca="false">B6*Inputs!$B$23+Inputs!$B$24+B17*B11+B17*Inputs!$B$26+B19*Inputs!$B$27+Inputs!$B$28*12+Inputs!$B$29+Inputs!$B$30</f>
        <v>13941.2</v>
      </c>
      <c r="C20" s="17" t="n">
        <f aca="false">C6*Inputs!$B$23+Inputs!$B$24+C17*C11+C17*Inputs!$B$26+C19*Inputs!$B$27+Inputs!$B$28*12+Inputs!$B$29+Inputs!$B$30</f>
        <v>13333.44</v>
      </c>
      <c r="D20" s="17" t="n">
        <f aca="false">D6*Inputs!$B$23+Inputs!$B$24+D17*D11+D17*Inputs!$B$26+D19*Inputs!$B$27+Inputs!$B$28*12+Inputs!$B$29+Inputs!$B$30</f>
        <v>13211.44</v>
      </c>
    </row>
    <row r="21" customFormat="false" ht="15" hidden="false" customHeight="false" outlineLevel="0" collapsed="false">
      <c r="A21" s="3" t="s">
        <v>92</v>
      </c>
      <c r="B21" s="20" t="n">
        <f aca="false">B19-B20</f>
        <v>16298.8</v>
      </c>
      <c r="C21" s="20" t="n">
        <f aca="false">C19-C20</f>
        <v>21634.56</v>
      </c>
      <c r="D21" s="20" t="n">
        <f aca="false">D19-D20</f>
        <v>25956.56</v>
      </c>
    </row>
    <row r="22" customFormat="false" ht="15" hidden="false" customHeight="false" outlineLevel="0" collapsed="false">
      <c r="A22" s="3" t="s">
        <v>95</v>
      </c>
      <c r="B22" s="20" t="n">
        <f aca="false">B21-B16</f>
        <v>-4002.76609447227</v>
      </c>
      <c r="C22" s="20" t="n">
        <f aca="false">C21-C16</f>
        <v>5010.19558848743</v>
      </c>
      <c r="D22" s="20" t="n">
        <f aca="false">D21-D16</f>
        <v>12125.219927187</v>
      </c>
    </row>
    <row r="23" customFormat="false" ht="15" hidden="false" customHeight="false" outlineLevel="0" collapsed="false">
      <c r="A23" s="5" t="s">
        <v>98</v>
      </c>
      <c r="B23" s="21" t="n">
        <f aca="false">IFERROR(B17/B6,"N/A")</f>
        <v>0.108387096774194</v>
      </c>
      <c r="C23" s="21" t="n">
        <f aca="false">IFERROR(C17/C6,"N/A")</f>
        <v>0.124</v>
      </c>
      <c r="D23" s="21" t="n">
        <f aca="false">IFERROR(D17/D6,"N/A")</f>
        <v>0.140689655172414</v>
      </c>
    </row>
    <row r="24" customFormat="false" ht="15" hidden="false" customHeight="false" outlineLevel="0" collapsed="false">
      <c r="A24" s="5" t="s">
        <v>100</v>
      </c>
      <c r="B24" s="21" t="n">
        <f aca="false">IFERROR(B21/B6,"N/A")</f>
        <v>0.0525767741935484</v>
      </c>
      <c r="C24" s="21" t="n">
        <f aca="false">IFERROR(C21/C6,"N/A")</f>
        <v>0.0721152</v>
      </c>
      <c r="D24" s="21" t="n">
        <f aca="false">IFERROR(D21/D6,"N/A")</f>
        <v>0.0895053793103448</v>
      </c>
    </row>
    <row r="25" customFormat="false" ht="15" hidden="false" customHeight="false" outlineLevel="0" collapsed="false">
      <c r="A25" s="3" t="s">
        <v>104</v>
      </c>
      <c r="B25" s="22" t="n">
        <f aca="false">IFERROR(B22/B14,"N/A")</f>
        <v>-0.049234515307162</v>
      </c>
      <c r="C25" s="22" t="n">
        <f aca="false">IFERROR(C22/C14,"N/A")</f>
        <v>0.0532999530690152</v>
      </c>
      <c r="D25" s="22" t="n">
        <f aca="false">IFERROR(D22/D14,"N/A")</f>
        <v>0.114713528166386</v>
      </c>
    </row>
    <row r="26" customFormat="false" ht="15" hidden="false" customHeight="false" outlineLevel="0" collapsed="false">
      <c r="A26" s="5" t="s">
        <v>133</v>
      </c>
      <c r="B26" s="25" t="n">
        <f aca="false">IF(B16=0,"N/A",B21/B16)</f>
        <v>0.802834615031884</v>
      </c>
      <c r="C26" s="25" t="n">
        <f aca="false">IF(C16=0,"N/A",C21/C16)</f>
        <v>1.30137667007695</v>
      </c>
      <c r="D26" s="25" t="n">
        <f aca="false">IF(D16=0,"N/A",D21/D16)</f>
        <v>1.87664823967567</v>
      </c>
    </row>
    <row r="27" customFormat="false" ht="15" hidden="false" customHeight="false" outlineLevel="0" collapsed="false">
      <c r="A27" s="3" t="s">
        <v>114</v>
      </c>
      <c r="B27" s="26" t="str">
        <f aca="false">IF(B22&gt;0,B14/B22,"Never")</f>
        <v>Never</v>
      </c>
      <c r="C27" s="26" t="n">
        <f aca="false">IF(C22&gt;0,C14/C22,"Never")</f>
        <v>18.7617425986315</v>
      </c>
      <c r="D27" s="26" t="n">
        <f aca="false">IF(D22&gt;0,D14/D22,"Never")</f>
        <v>8.71736765475081</v>
      </c>
    </row>
    <row r="29" customFormat="false" ht="15" hidden="false" customHeight="false" outlineLevel="0" collapsed="false">
      <c r="A29" s="6" t="s">
        <v>157</v>
      </c>
      <c r="C29" s="35" t="n">
        <f aca="false">ROUND(C22-Analysis!$B$36,2)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2026-10-14T13:24:58Z</dcterms:created>
  <dc:creator>openpyxl</dc:creator>
  <dc:description/>
  <dc:language>en-US</dc:language>
  <cp:lastModifiedBy/>
  <dcterms:modified xsi:type="dcterms:W3CDTF">2026-10-14T13:24:58Z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