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5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Instructions" sheetId="1" state="visible" r:id="rId3"/>
    <sheet name="Loan Inputs" sheetId="2" state="visible" r:id="rId4"/>
    <sheet name="Schedule" sheetId="3" state="visible" r:id="rId5"/>
    <sheet name="Yearly Summary" sheetId="4" state="visible" r:id="rId6"/>
    <sheet name="Summary" sheetId="5" state="visible" r:id="rId7"/>
    <sheet name="Compare Offers" sheetId="6" state="visible" r:id="rId8"/>
  </sheets>
  <definedNames>
    <definedName function="false" hidden="false" name="Annuity" vbProcedure="false">'Loan Inputs'!$B$26</definedName>
    <definedName function="false" hidden="false" name="Borrower" vbProcedure="false">'Loan Inputs'!$B$5</definedName>
    <definedName function="false" hidden="false" name="Cur" vbProcedure="false">'Loan Inputs'!$B$7</definedName>
    <definedName function="false" hidden="false" name="Disb" vbProcedure="false">'Loan Inputs'!$B$12</definedName>
    <definedName function="false" hidden="false" name="EqPrin" vbProcedure="false">'Loan Inputs'!$B$27</definedName>
    <definedName function="false" hidden="false" name="Extra" vbProcedure="false">'Loan Inputs'!$B$18</definedName>
    <definedName function="false" hidden="false" name="FeePct" vbProcedure="false">'Loan Inputs'!$B$16</definedName>
    <definedName function="false" hidden="false" name="Fees" vbProcedure="false">'Loan Inputs'!$B$28</definedName>
    <definedName function="false" hidden="false" name="Freq" vbProcedure="false">'Loan Inputs'!$B$11</definedName>
    <definedName function="false" hidden="false" name="Grace" vbProcedure="false">'Loan Inputs'!$B$14</definedName>
    <definedName function="false" hidden="false" name="Lender" vbProcedure="false">'Loan Inputs'!$B$6</definedName>
    <definedName function="false" hidden="false" name="Loan" vbProcedure="false">'Loan Inputs'!$B$8</definedName>
    <definedName function="false" hidden="false" name="LumpAmt" vbProcedure="false">'Loan Inputs'!$B$33:$B$42</definedName>
    <definedName function="false" hidden="false" name="LumpN" vbProcedure="false">'Loan Inputs'!$A$33:$A$42</definedName>
    <definedName function="false" hidden="false" name="L_Freq" vbProcedure="false">'Loan Inputs'!$E$4:$E$7</definedName>
    <definedName function="false" hidden="false" name="L_Method" vbProcedure="false">'Loan Inputs'!$E$10:$E$11</definedName>
    <definedName function="false" hidden="false" name="Method" vbProcedure="false">'Loan Inputs'!$B$13</definedName>
    <definedName function="false" hidden="false" name="MPP" vbProcedure="false">'Loan Inputs'!$B$22</definedName>
    <definedName function="false" hidden="false" name="NAm" vbProcedure="false">'Loan Inputs'!$B$25</definedName>
    <definedName function="false" hidden="false" name="NPer" vbProcedure="false">'Loan Inputs'!$B$24</definedName>
    <definedName function="false" hidden="false" name="OtherFees" vbProcedure="false">'Loan Inputs'!$B$17</definedName>
    <definedName function="false" hidden="false" name="PPY" vbProcedure="false">'Loan Inputs'!$B$21</definedName>
    <definedName function="false" hidden="false" name="Rate" vbProcedure="false">'Loan Inputs'!$B$9</definedName>
    <definedName function="false" hidden="false" name="RP" vbProcedure="false">'Loan Inputs'!$B$23</definedName>
    <definedName function="false" hidden="false" name="S_BInt" vbProcedure="false">Schedule!$Q$8:$Q$367</definedName>
    <definedName function="false" hidden="false" name="S_CF" vbProcedure="false">Schedule!$O$7:$O$367</definedName>
    <definedName function="false" hidden="false" name="S_Close" vbProcedure="false">Schedule!$K$8:$K$367</definedName>
    <definedName function="false" hidden="false" name="S_Date" vbProcedure="false">Schedule!$B$8:$B$367</definedName>
    <definedName function="false" hidden="false" name="S_Extra" vbProcedure="false">Schedule!$H$8:$H$367</definedName>
    <definedName function="false" hidden="false" name="S_Int" vbProcedure="false">Schedule!$F$8:$F$367</definedName>
    <definedName function="false" hidden="false" name="S_Lump" vbProcedure="false">Schedule!$I$8:$I$367</definedName>
    <definedName function="false" hidden="false" name="S_N" vbProcedure="false">Schedule!$A$8:$A$367</definedName>
    <definedName function="false" hidden="false" name="S_Pay" vbProcedure="false">Schedule!$E$8:$E$367</definedName>
    <definedName function="false" hidden="false" name="S_Prin" vbProcedure="false">Schedule!$G$8:$G$367</definedName>
    <definedName function="false" hidden="false" name="S_Tot" vbProcedure="false">Schedule!$J$8:$J$367</definedName>
    <definedName function="false" hidden="false" name="S_Year" vbProcedure="false">Schedule!$N$8:$N$367</definedName>
    <definedName function="false" hidden="false" name="Term" vbProcedure="false">'Loan Inputs'!$B$10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12" authorId="0">
      <text>
        <r>
          <rPr>
            <sz val="10"/>
            <rFont val="Arial"/>
            <family val="2"/>
          </rPr>
          <t xml:space="preserve">Annualised internal rate of return of net amount received (loan minus fees) against all payments – a fuller measure of cost than the quoted rate.</t>
        </r>
      </text>
    </comment>
  </commentList>
</comments>
</file>

<file path=xl/sharedStrings.xml><?xml version="1.0" encoding="utf-8"?>
<sst xmlns="http://schemas.openxmlformats.org/spreadsheetml/2006/main" count="153" uniqueCount="141">
  <si>
    <t xml:space="preserve">LOAN REPAYMENT AND AMORTISATION CALCULATOR</t>
  </si>
  <si>
    <t xml:space="preserve">Calculates loan instalments, a full repayment schedule, total interest and the true cost of borrowing.</t>
  </si>
  <si>
    <t xml:space="preserve">1. Loan Inputs</t>
  </si>
  <si>
    <t xml:space="preserve">Enter the loan amount, interest rate, term, payment frequency, disbursement date and repayment method. Add any grace period (interest-only), fees, regular extra payments and lump-sum prepayments.</t>
  </si>
  <si>
    <t xml:space="preserve">2. Schedule</t>
  </si>
  <si>
    <t xml:space="preserve">Shows every payment: date, opening balance, interest, principal, extra and lump-sum payments, closing balance and running totals (up to 360 payments). Grace periods are shaded.</t>
  </si>
  <si>
    <t xml:space="preserve">3. Yearly Summary</t>
  </si>
  <si>
    <t xml:space="preserve">Totals payments, interest and principal for each calendar year, with the balance at year-end – useful for budgets, cash-flow planning and financial statements.</t>
  </si>
  <si>
    <t xml:space="preserve">4. Summary</t>
  </si>
  <si>
    <t xml:space="preserve">Key figures: instalment, total interest, total repaid, final payment date, fees, total and effective cost of borrowing, and interest saved by prepayments. Includes charts.</t>
  </si>
  <si>
    <t xml:space="preserve">5. Compare Offers</t>
  </si>
  <si>
    <t xml:space="preserve">Compare up to four loan offers on instalment, total cost and effective annual cost (including fees) to choose the cheapest.</t>
  </si>
  <si>
    <t xml:space="preserve">Note</t>
  </si>
  <si>
    <t xml:space="preserve">Results are estimates for planning. Lenders may calculate interest on daily balances or round differently – confirm figures with your lender's official schedule.</t>
  </si>
  <si>
    <t xml:space="preserve">Colour key</t>
  </si>
  <si>
    <t xml:space="preserve">Blue text</t>
  </si>
  <si>
    <t xml:space="preserve">Inputs you can change.</t>
  </si>
  <si>
    <t xml:space="preserve">Black text</t>
  </si>
  <si>
    <t xml:space="preserve">Calculations – do not overwrite.</t>
  </si>
  <si>
    <t xml:space="preserve">Green text</t>
  </si>
  <si>
    <t xml:space="preserve">Linked from another sheet.</t>
  </si>
  <si>
    <t xml:space="preserve">Yellow fill</t>
  </si>
  <si>
    <t xml:space="preserve">Main loan terms and key results.</t>
  </si>
  <si>
    <t xml:space="preserve">LOAN INPUTS</t>
  </si>
  <si>
    <t xml:space="preserve">Blue = input; yellow = main loan terms. Example values are illustrative – enter the terms from your loan offer letter.</t>
  </si>
  <si>
    <t xml:space="preserve">Item</t>
  </si>
  <si>
    <t xml:space="preserve">Value</t>
  </si>
  <si>
    <t xml:space="preserve">Notes</t>
  </si>
  <si>
    <t xml:space="preserve">Frequency</t>
  </si>
  <si>
    <t xml:space="preserve">Payments / year</t>
  </si>
  <si>
    <t xml:space="preserve">LOAN DETAILS</t>
  </si>
  <si>
    <t xml:space="preserve">Monthly</t>
  </si>
  <si>
    <t xml:space="preserve">Borrower</t>
  </si>
  <si>
    <t xml:space="preserve">[Business name]</t>
  </si>
  <si>
    <t xml:space="preserve">Quarterly</t>
  </si>
  <si>
    <t xml:space="preserve">Lender</t>
  </si>
  <si>
    <t xml:space="preserve">[Bank / lender name]</t>
  </si>
  <si>
    <t xml:space="preserve">Semi-annual</t>
  </si>
  <si>
    <t xml:space="preserve">Currency</t>
  </si>
  <si>
    <t xml:space="preserve">GHS</t>
  </si>
  <si>
    <t xml:space="preserve">Annual</t>
  </si>
  <si>
    <t xml:space="preserve">Loan amount</t>
  </si>
  <si>
    <t xml:space="preserve">Principal borrowed</t>
  </si>
  <si>
    <t xml:space="preserve">Annual interest rate (nominal)</t>
  </si>
  <si>
    <t xml:space="preserve">Rate quoted by the lender (per annum)</t>
  </si>
  <si>
    <t xml:space="preserve">Repayment method</t>
  </si>
  <si>
    <t xml:space="preserve">Loan term (years)</t>
  </si>
  <si>
    <t xml:space="preserve">Total term including any grace period</t>
  </si>
  <si>
    <t xml:space="preserve">Equal instalments (annuity)</t>
  </si>
  <si>
    <t xml:space="preserve">Payment frequency</t>
  </si>
  <si>
    <t xml:space="preserve">Monthly, Quarterly, Semi-annual or Annual</t>
  </si>
  <si>
    <t xml:space="preserve">Equal principal (reducing payments)</t>
  </si>
  <si>
    <t xml:space="preserve">Disbursement date</t>
  </si>
  <si>
    <t xml:space="preserve">First payment falls one period after this date</t>
  </si>
  <si>
    <t xml:space="preserve">Annuity = same payment each period; Equal principal = reducing payments</t>
  </si>
  <si>
    <t xml:space="preserve">Grace period (interest-only payments)</t>
  </si>
  <si>
    <t xml:space="preserve">Number of payment periods at the start with interest only</t>
  </si>
  <si>
    <t xml:space="preserve">FEES AND EXTRA PAYMENTS</t>
  </si>
  <si>
    <t xml:space="preserve">Arrangement / processing fee (% of loan)</t>
  </si>
  <si>
    <t xml:space="preserve">Deducted at disbursement or paid upfront</t>
  </si>
  <si>
    <t xml:space="preserve">Other upfront charges (insurance, legal, etc.)</t>
  </si>
  <si>
    <t xml:space="preserve">Extra payment each period (optional)</t>
  </si>
  <si>
    <t xml:space="preserve">Paid on top of the scheduled instalment after the grace period</t>
  </si>
  <si>
    <t xml:space="preserve">DERIVED VALUES (calculated)</t>
  </si>
  <si>
    <t xml:space="preserve">Payments per year</t>
  </si>
  <si>
    <t xml:space="preserve">Months between payments</t>
  </si>
  <si>
    <t xml:space="preserve">Periodic interest rate</t>
  </si>
  <si>
    <t xml:space="preserve">Total number of payments</t>
  </si>
  <si>
    <t xml:space="preserve">Number of amortising payments (after grace)</t>
  </si>
  <si>
    <t xml:space="preserve">Scheduled instalment after grace (annuity)</t>
  </si>
  <si>
    <t xml:space="preserve">Principal per period (equal principal method)</t>
  </si>
  <si>
    <t xml:space="preserve">Total upfront fees</t>
  </si>
  <si>
    <t xml:space="preserve">Check: number of payments must not exceed 360.</t>
  </si>
  <si>
    <t xml:space="preserve">LUMP-SUM PREPAYMENTS (optional)</t>
  </si>
  <si>
    <t xml:space="preserve">Payment number</t>
  </si>
  <si>
    <t xml:space="preserve">Amount</t>
  </si>
  <si>
    <t xml:space="preserve">Example: an extra 30,000 paid with payment number 18 (shortens the loan).</t>
  </si>
  <si>
    <t xml:space="preserve">AMORTISATION SCHEDULE</t>
  </si>
  <si>
    <t xml:space="preserve">Calculated automatically from Loan Inputs – do not type here. Rows after the loan is repaid show blank.</t>
  </si>
  <si>
    <t xml:space="preserve">Baseline (no extra or lump-sum payments) – for 'interest saved'</t>
  </si>
  <si>
    <t xml:space="preserve">No.</t>
  </si>
  <si>
    <t xml:space="preserve">Payment date</t>
  </si>
  <si>
    <t xml:space="preserve">Phase</t>
  </si>
  <si>
    <t xml:space="preserve">Opening balance</t>
  </si>
  <si>
    <t xml:space="preserve">Scheduled payment</t>
  </si>
  <si>
    <t xml:space="preserve">Interest</t>
  </si>
  <si>
    <t xml:space="preserve">Principal</t>
  </si>
  <si>
    <t xml:space="preserve">Extra payment</t>
  </si>
  <si>
    <t xml:space="preserve">Lump sum</t>
  </si>
  <si>
    <t xml:space="preserve">Total paid</t>
  </si>
  <si>
    <t xml:space="preserve">Closing balance</t>
  </si>
  <si>
    <t xml:space="preserve">Cumulative interest</t>
  </si>
  <si>
    <t xml:space="preserve">Cumulative principal</t>
  </si>
  <si>
    <t xml:space="preserve">Year</t>
  </si>
  <si>
    <t xml:space="preserve">Cash flow (for cost calc.)</t>
  </si>
  <si>
    <t xml:space="preserve">Baseline opening</t>
  </si>
  <si>
    <t xml:space="preserve">Baseline interest</t>
  </si>
  <si>
    <t xml:space="preserve">Baseline closing</t>
  </si>
  <si>
    <t xml:space="preserve">Disbursement</t>
  </si>
  <si>
    <t xml:space="preserve">YEARLY REPAYMENT SUMMARY</t>
  </si>
  <si>
    <t xml:space="preserve">Calendar year</t>
  </si>
  <si>
    <t xml:space="preserve">No. of payments</t>
  </si>
  <si>
    <t xml:space="preserve">Principal (incl. extra &amp; lump sums)</t>
  </si>
  <si>
    <t xml:space="preserve">Share of payments that is interest</t>
  </si>
  <si>
    <t xml:space="preserve">Total</t>
  </si>
  <si>
    <t xml:space="preserve">LOAN REPAYMENT SUMMARY</t>
  </si>
  <si>
    <t xml:space="preserve">Regular instalment (after grace)</t>
  </si>
  <si>
    <t xml:space="preserve">Grace-period payment (interest only)</t>
  </si>
  <si>
    <t xml:space="preserve">Number of payments</t>
  </si>
  <si>
    <t xml:space="preserve">Total interest</t>
  </si>
  <si>
    <t xml:space="preserve">Total repaid (principal + interest)</t>
  </si>
  <si>
    <t xml:space="preserve">Final payment date</t>
  </si>
  <si>
    <t xml:space="preserve">Upfront fees and charges</t>
  </si>
  <si>
    <t xml:space="preserve">Total cost of borrowing (interest + fees)</t>
  </si>
  <si>
    <t xml:space="preserve">Effective annual cost (incl. fees)</t>
  </si>
  <si>
    <t xml:space="preserve">Interest saved by extra / lump-sum payments</t>
  </si>
  <si>
    <t xml:space="preserve">Payments saved</t>
  </si>
  <si>
    <t xml:space="preserve">Interest as % of loan</t>
  </si>
  <si>
    <t xml:space="preserve">Check: total principal repaid equals loan amount</t>
  </si>
  <si>
    <t xml:space="preserve">Balance chart shows the first 60 payments; extend the chart range for longer loans.</t>
  </si>
  <si>
    <t xml:space="preserve">COMPARE LOAN OFFERS</t>
  </si>
  <si>
    <t xml:space="preserve">Enter up to four offers (annuity repayment, no grace period) to compare instalments and true cost. Offer 1 can mirror the main loan.</t>
  </si>
  <si>
    <t xml:space="preserve">Offer</t>
  </si>
  <si>
    <t xml:space="preserve">Offer 1</t>
  </si>
  <si>
    <t xml:space="preserve">Offer 2</t>
  </si>
  <si>
    <t xml:space="preserve">Offer 3</t>
  </si>
  <si>
    <t xml:space="preserve">Offer 4</t>
  </si>
  <si>
    <t xml:space="preserve">[Bank B]</t>
  </si>
  <si>
    <t xml:space="preserve">[Microfinance C]</t>
  </si>
  <si>
    <t xml:space="preserve">[Lender D]</t>
  </si>
  <si>
    <t xml:space="preserve">Annual interest rate</t>
  </si>
  <si>
    <t xml:space="preserve">Term (years)</t>
  </si>
  <si>
    <t xml:space="preserve">Upfront fees (% of loan)</t>
  </si>
  <si>
    <t xml:space="preserve">Other upfront charges</t>
  </si>
  <si>
    <t xml:space="preserve">Results</t>
  </si>
  <si>
    <t xml:space="preserve">Instalment per period</t>
  </si>
  <si>
    <t xml:space="preserve">Total repaid</t>
  </si>
  <si>
    <t xml:space="preserve">Total fees</t>
  </si>
  <si>
    <t xml:space="preserve">Total cost of borrowing</t>
  </si>
  <si>
    <t xml:space="preserve">Rank (lowest effective cost = 1)</t>
  </si>
  <si>
    <t xml:space="preserve">Compare offers on effective annual cost and total cost of borrowing, not just the quoted interest rate. Check also prepayment penalties, collateral and other conditions.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</si>
</sst>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;\(#,##0.00\);\-"/>
    <numFmt numFmtId="166" formatCode="0.00%"/>
    <numFmt numFmtId="167" formatCode="0.0"/>
    <numFmt numFmtId="168" formatCode="dd\-mmm\-yyyy"/>
    <numFmt numFmtId="169" formatCode="0"/>
    <numFmt numFmtId="170" formatCode="0.0000%"/>
    <numFmt numFmtId="171" formatCode="0%"/>
    <numFmt numFmtId="172" formatCode="0.0%"/>
    <numFmt numFmtId="173" formatCode="#,##0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3E53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1D3E53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D3E53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D3E53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595959"/>
      <name val="Arial"/>
      <family val="0"/>
      <charset val="1"/>
    </font>
    <font>
      <i val="true"/>
      <sz val="8"/>
      <color rgb="FF595959"/>
      <name val="Arial"/>
      <family val="0"/>
      <charset val="1"/>
    </font>
    <font>
      <i val="true"/>
      <sz val="8"/>
      <color rgb="FF808080"/>
      <name val="Arial"/>
      <family val="0"/>
      <charset val="1"/>
    </font>
    <font>
      <b val="true"/>
      <sz val="10"/>
      <name val="Arial"/>
      <family val="0"/>
      <charset val="1"/>
    </font>
    <font>
      <sz val="9"/>
      <name val="Arial"/>
      <family val="0"/>
      <charset val="1"/>
    </font>
    <font>
      <sz val="9"/>
      <color rgb="FF808080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CE6EC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1D3E53"/>
        <bgColor rgb="FF003366"/>
      </patternFill>
    </fill>
    <fill>
      <patternFill patternType="solid">
        <fgColor rgb="FFEEF3F6"/>
        <bgColor rgb="FFFFF8DC"/>
      </patternFill>
    </fill>
    <fill>
      <patternFill patternType="solid">
        <fgColor rgb="FFFFF8DC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FFC7CE"/>
        </patternFill>
      </fill>
    </dxf>
    <dxf>
      <fill>
        <patternFill>
          <bgColor rgb="FFFFF2CC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548235"/>
      <rgbColor rgb="FF800080"/>
      <rgbColor rgb="FF008080"/>
      <rgbColor rgb="FFB7C3D0"/>
      <rgbColor rgb="FF808080"/>
      <rgbColor rgb="FF9999FF"/>
      <rgbColor rgb="FF993366"/>
      <rgbColor rgb="FFFFF8DC"/>
      <rgbColor rgb="FFEEF3F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EC"/>
      <rgbColor rgb="FFC6EFCE"/>
      <rgbColor rgb="FFFFF2CC"/>
      <rgbColor rgb="FF99CCFF"/>
      <rgbColor rgb="FFFF99CC"/>
      <rgbColor rgb="FFCC99FF"/>
      <rgbColor rgb="FFFFC7CE"/>
      <rgbColor rgb="FF2E75B6"/>
      <rgbColor rgb="FF33CCCC"/>
      <rgbColor rgb="FF99CC00"/>
      <rgbColor rgb="FFFFC000"/>
      <rgbColor rgb="FFFF9900"/>
      <rgbColor rgb="FFFF6600"/>
      <rgbColor rgb="FF595959"/>
      <rgbColor rgb="FF878787"/>
      <rgbColor rgb="FF003366"/>
      <rgbColor rgb="FF7F7F7F"/>
      <rgbColor rgb="FF006100"/>
      <rgbColor rgb="FF333300"/>
      <rgbColor rgb="FF993300"/>
      <rgbColor rgb="FF993366"/>
      <rgbColor rgb="FF333399"/>
      <rgbColor rgb="FF1D3E5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Principal and interest paid by year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'Yearly Summary'!D4</c:f>
              <c:strCache>
                <c:ptCount val="1"/>
                <c:pt idx="0">
                  <c:v>Interest</c:v>
                </c:pt>
              </c:strCache>
            </c:strRef>
          </c:tx>
          <c:spPr>
            <a:solidFill>
              <a:srgbClr val="c000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'Yearly Summary'!$A$5:$A$10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/>
                </c:pt>
                <c:pt idx="5">
                  <c:v/>
                </c:pt>
              </c:strCache>
            </c:strRef>
          </c:cat>
          <c:val>
            <c:numRef>
              <c:f>'Yearly Summary'!$D$5:$D$10</c:f>
              <c:numCache>
                <c:formatCode>#,##0.00;\(#,##0.00\);\-</c:formatCode>
                <c:ptCount val="6"/>
                <c:pt idx="0">
                  <c:v>4583.33</c:v>
                </c:pt>
                <c:pt idx="1">
                  <c:v>50163.22</c:v>
                </c:pt>
                <c:pt idx="2">
                  <c:v>28975.29</c:v>
                </c:pt>
                <c:pt idx="3">
                  <c:v>4966.99</c:v>
                </c:pt>
              </c:numCache>
            </c:numRef>
          </c:val>
        </c:ser>
        <c:ser>
          <c:idx val="1"/>
          <c:order val="1"/>
          <c:tx>
            <c:strRef>
              <c:f>'Yearly Summary'!E4</c:f>
              <c:strCache>
                <c:ptCount val="1"/>
                <c:pt idx="0">
                  <c:v>Principal (incl. extra &amp; lump sums)</c:v>
                </c:pt>
              </c:strCache>
            </c:strRef>
          </c:tx>
          <c:spPr>
            <a:solidFill>
              <a:srgbClr val="1d3e53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'Yearly Summary'!$A$5:$A$10</c:f>
              <c:strCach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/>
                </c:pt>
                <c:pt idx="5">
                  <c:v/>
                </c:pt>
              </c:strCache>
            </c:strRef>
          </c:cat>
          <c:val>
            <c:numRef>
              <c:f>'Yearly Summary'!$E$5:$E$10</c:f>
              <c:numCache>
                <c:formatCode>#,##0.00;\(#,##0.00\);\-</c:formatCode>
                <c:ptCount val="6"/>
                <c:pt idx="0">
                  <c:v>0</c:v>
                </c:pt>
                <c:pt idx="1">
                  <c:v>60646.24</c:v>
                </c:pt>
                <c:pt idx="2">
                  <c:v>122996.07</c:v>
                </c:pt>
                <c:pt idx="3">
                  <c:v>66357.69</c:v>
                </c:pt>
              </c:numCache>
            </c:numRef>
          </c:val>
        </c:ser>
        <c:gapWidth val="150"/>
        <c:overlap val="100"/>
        <c:axId val="22283621"/>
        <c:axId val="97688514"/>
      </c:barChart>
      <c:catAx>
        <c:axId val="22283621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688514"/>
        <c:crosses val="autoZero"/>
        <c:auto val="1"/>
        <c:lblAlgn val="ctr"/>
        <c:lblOffset val="100"/>
        <c:noMultiLvlLbl val="0"/>
      </c:catAx>
      <c:valAx>
        <c:axId val="97688514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28362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Outstanding balance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Schedule!K6</c:f>
              <c:strCache>
                <c:ptCount val="1"/>
                <c:pt idx="0">
                  <c:v>Closing balance</c:v>
                </c:pt>
              </c:strCache>
            </c:strRef>
          </c:tx>
          <c:spPr>
            <a:solidFill>
              <a:srgbClr val="1d3e53"/>
            </a:solidFill>
            <a:ln w="28440">
              <a:solidFill>
                <a:srgbClr val="1d3e53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Schedule!$A$7:$A$67</c:f>
              <c:strCach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</c:strCache>
            </c:strRef>
          </c:cat>
          <c:val>
            <c:numRef>
              <c:f>Schedule!$K$7:$K$67</c:f>
              <c:numCache>
                <c:formatCode>#,##0.00;\(#,##0.00\);\-</c:formatCode>
                <c:ptCount val="61"/>
                <c:pt idx="0">
                  <c:v>250000</c:v>
                </c:pt>
                <c:pt idx="1">
                  <c:v>250000</c:v>
                </c:pt>
                <c:pt idx="2">
                  <c:v>250000</c:v>
                </c:pt>
                <c:pt idx="3">
                  <c:v>250000</c:v>
                </c:pt>
                <c:pt idx="4">
                  <c:v>244419.05</c:v>
                </c:pt>
                <c:pt idx="5">
                  <c:v>238735.79</c:v>
                </c:pt>
                <c:pt idx="6">
                  <c:v>232948.33</c:v>
                </c:pt>
                <c:pt idx="7">
                  <c:v>227054.77</c:v>
                </c:pt>
                <c:pt idx="8">
                  <c:v>221053.16</c:v>
                </c:pt>
                <c:pt idx="9">
                  <c:v>214941.52</c:v>
                </c:pt>
                <c:pt idx="10">
                  <c:v>208717.83</c:v>
                </c:pt>
                <c:pt idx="11">
                  <c:v>202380.04</c:v>
                </c:pt>
                <c:pt idx="12">
                  <c:v>195926.06</c:v>
                </c:pt>
                <c:pt idx="13">
                  <c:v>189353.76</c:v>
                </c:pt>
                <c:pt idx="14">
                  <c:v>182660.97</c:v>
                </c:pt>
                <c:pt idx="15">
                  <c:v>175845.47</c:v>
                </c:pt>
                <c:pt idx="16">
                  <c:v>168905.02</c:v>
                </c:pt>
                <c:pt idx="17">
                  <c:v>161837.33</c:v>
                </c:pt>
                <c:pt idx="18">
                  <c:v>124640.07</c:v>
                </c:pt>
                <c:pt idx="19">
                  <c:v>116760.86</c:v>
                </c:pt>
                <c:pt idx="20">
                  <c:v>108737.2</c:v>
                </c:pt>
                <c:pt idx="21">
                  <c:v>100566.44</c:v>
                </c:pt>
                <c:pt idx="22">
                  <c:v>92245.88</c:v>
                </c:pt>
                <c:pt idx="23">
                  <c:v>83772.77</c:v>
                </c:pt>
                <c:pt idx="24">
                  <c:v>75144.32</c:v>
                </c:pt>
                <c:pt idx="25">
                  <c:v>66357.69</c:v>
                </c:pt>
                <c:pt idx="26">
                  <c:v>57409.97</c:v>
                </c:pt>
                <c:pt idx="27">
                  <c:v>48298.21</c:v>
                </c:pt>
                <c:pt idx="28">
                  <c:v>39019.4</c:v>
                </c:pt>
                <c:pt idx="29">
                  <c:v>29570.48</c:v>
                </c:pt>
                <c:pt idx="30">
                  <c:v>19948.33</c:v>
                </c:pt>
                <c:pt idx="31">
                  <c:v>10149.77</c:v>
                </c:pt>
                <c:pt idx="32">
                  <c:v>171.57</c:v>
                </c:pt>
                <c:pt idx="33">
                  <c:v>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5108194"/>
        <c:axId val="43780222"/>
      </c:lineChart>
      <c:catAx>
        <c:axId val="5510819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Payment number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780222"/>
        <c:crosses val="autoZero"/>
        <c:auto val="1"/>
        <c:lblAlgn val="ctr"/>
        <c:lblOffset val="100"/>
        <c:noMultiLvlLbl val="0"/>
      </c:catAx>
      <c:valAx>
        <c:axId val="4378022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10819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17</xdr:row>
      <xdr:rowOff>130680</xdr:rowOff>
    </xdr:from>
    <xdr:to>
      <xdr:col>7</xdr:col>
      <xdr:colOff>57960</xdr:colOff>
      <xdr:row>32</xdr:row>
      <xdr:rowOff>153000</xdr:rowOff>
    </xdr:to>
    <xdr:graphicFrame>
      <xdr:nvGraphicFramePr>
        <xdr:cNvPr id="0" name="Chart 1"/>
        <xdr:cNvGraphicFramePr/>
      </xdr:nvGraphicFramePr>
      <xdr:xfrm>
        <a:off x="141120" y="480060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34</xdr:row>
      <xdr:rowOff>131040</xdr:rowOff>
    </xdr:from>
    <xdr:to>
      <xdr:col>7</xdr:col>
      <xdr:colOff>57960</xdr:colOff>
      <xdr:row>49</xdr:row>
      <xdr:rowOff>153000</xdr:rowOff>
    </xdr:to>
    <xdr:graphicFrame>
      <xdr:nvGraphicFramePr>
        <xdr:cNvPr id="1" name="Chart 2"/>
        <xdr:cNvGraphicFramePr/>
      </xdr:nvGraphicFramePr>
      <xdr:xfrm>
        <a:off x="141120" y="803916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95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1.5" hidden="false" customHeight="true" outlineLevel="0" collapsed="false">
      <c r="B5" s="3" t="s">
        <v>2</v>
      </c>
      <c r="C5" s="4" t="s">
        <v>3</v>
      </c>
    </row>
    <row r="6" customFormat="false" ht="31.5" hidden="false" customHeight="true" outlineLevel="0" collapsed="false">
      <c r="B6" s="3" t="s">
        <v>4</v>
      </c>
      <c r="C6" s="4" t="s">
        <v>5</v>
      </c>
    </row>
    <row r="7" customFormat="false" ht="31.5" hidden="false" customHeight="true" outlineLevel="0" collapsed="false">
      <c r="B7" s="3" t="s">
        <v>6</v>
      </c>
      <c r="C7" s="4" t="s">
        <v>7</v>
      </c>
    </row>
    <row r="8" customFormat="false" ht="31.5" hidden="false" customHeight="true" outlineLevel="0" collapsed="false">
      <c r="B8" s="3" t="s">
        <v>8</v>
      </c>
      <c r="C8" s="4" t="s">
        <v>9</v>
      </c>
    </row>
    <row r="9" customFormat="false" ht="31.5" hidden="false" customHeight="true" outlineLevel="0" collapsed="false">
      <c r="B9" s="3" t="s">
        <v>10</v>
      </c>
      <c r="C9" s="4" t="s">
        <v>11</v>
      </c>
    </row>
    <row r="10" customFormat="false" ht="31.5" hidden="false" customHeight="true" outlineLevel="0" collapsed="false">
      <c r="B10" s="3" t="s">
        <v>12</v>
      </c>
      <c r="C10" s="4" t="s">
        <v>13</v>
      </c>
    </row>
    <row r="12" customFormat="false" ht="15" hidden="false" customHeight="false" outlineLevel="0" collapsed="false">
      <c r="B12" s="5" t="s">
        <v>14</v>
      </c>
    </row>
    <row r="13" customFormat="false" ht="15" hidden="false" customHeight="false" outlineLevel="0" collapsed="false">
      <c r="B13" s="6" t="s">
        <v>15</v>
      </c>
      <c r="C13" s="7" t="s">
        <v>16</v>
      </c>
    </row>
    <row r="14" customFormat="false" ht="15" hidden="false" customHeight="false" outlineLevel="0" collapsed="false">
      <c r="B14" s="7" t="s">
        <v>17</v>
      </c>
      <c r="C14" s="7" t="s">
        <v>18</v>
      </c>
    </row>
    <row r="15" customFormat="false" ht="15" hidden="false" customHeight="false" outlineLevel="0" collapsed="false">
      <c r="B15" s="8" t="s">
        <v>19</v>
      </c>
      <c r="C15" s="7" t="s">
        <v>20</v>
      </c>
    </row>
    <row r="16" customFormat="false" ht="15" hidden="false" customHeight="false" outlineLevel="0" collapsed="false">
      <c r="B16" s="9" t="s">
        <v>21</v>
      </c>
      <c r="C16" s="7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false"/>
  </sheetPr>
  <dimension ref="A1:F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54"/>
    <col collapsed="false" customWidth="true" hidden="false" outlineLevel="0" max="5" min="5" style="0" width="34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10" t="s">
        <v>23</v>
      </c>
    </row>
    <row r="2" customFormat="false" ht="15" hidden="false" customHeight="false" outlineLevel="0" collapsed="false">
      <c r="A2" s="11" t="s">
        <v>24</v>
      </c>
    </row>
    <row r="3" customFormat="false" ht="15" hidden="false" customHeight="false" outlineLevel="0" collapsed="false">
      <c r="A3" s="12" t="s">
        <v>25</v>
      </c>
      <c r="B3" s="12" t="s">
        <v>26</v>
      </c>
      <c r="C3" s="12" t="s">
        <v>27</v>
      </c>
      <c r="E3" s="12" t="s">
        <v>28</v>
      </c>
      <c r="F3" s="12" t="s">
        <v>29</v>
      </c>
    </row>
    <row r="4" customFormat="false" ht="15" hidden="false" customHeight="false" outlineLevel="0" collapsed="false">
      <c r="A4" s="13" t="s">
        <v>30</v>
      </c>
      <c r="B4" s="14"/>
      <c r="C4" s="14"/>
      <c r="E4" s="7" t="s">
        <v>31</v>
      </c>
      <c r="F4" s="15" t="n">
        <v>12</v>
      </c>
    </row>
    <row r="5" customFormat="false" ht="15" hidden="false" customHeight="false" outlineLevel="0" collapsed="false">
      <c r="A5" s="7" t="s">
        <v>32</v>
      </c>
      <c r="B5" s="16" t="s">
        <v>33</v>
      </c>
      <c r="C5" s="17"/>
      <c r="E5" s="7" t="s">
        <v>34</v>
      </c>
      <c r="F5" s="15" t="n">
        <v>4</v>
      </c>
    </row>
    <row r="6" customFormat="false" ht="15" hidden="false" customHeight="false" outlineLevel="0" collapsed="false">
      <c r="A6" s="7" t="s">
        <v>35</v>
      </c>
      <c r="B6" s="16" t="s">
        <v>36</v>
      </c>
      <c r="C6" s="17"/>
      <c r="E6" s="7" t="s">
        <v>37</v>
      </c>
      <c r="F6" s="15" t="n">
        <v>2</v>
      </c>
    </row>
    <row r="7" customFormat="false" ht="15" hidden="false" customHeight="false" outlineLevel="0" collapsed="false">
      <c r="A7" s="7" t="s">
        <v>38</v>
      </c>
      <c r="B7" s="16" t="s">
        <v>39</v>
      </c>
      <c r="C7" s="17"/>
      <c r="E7" s="7" t="s">
        <v>40</v>
      </c>
      <c r="F7" s="15" t="n">
        <v>1</v>
      </c>
    </row>
    <row r="8" customFormat="false" ht="15" hidden="false" customHeight="false" outlineLevel="0" collapsed="false">
      <c r="A8" s="7" t="s">
        <v>41</v>
      </c>
      <c r="B8" s="18" t="n">
        <v>250000</v>
      </c>
      <c r="C8" s="17" t="s">
        <v>42</v>
      </c>
    </row>
    <row r="9" customFormat="false" ht="15" hidden="false" customHeight="false" outlineLevel="0" collapsed="false">
      <c r="A9" s="7" t="s">
        <v>43</v>
      </c>
      <c r="B9" s="19" t="n">
        <v>0.22</v>
      </c>
      <c r="C9" s="17" t="s">
        <v>44</v>
      </c>
      <c r="E9" s="12" t="s">
        <v>45</v>
      </c>
    </row>
    <row r="10" customFormat="false" ht="15" hidden="false" customHeight="false" outlineLevel="0" collapsed="false">
      <c r="A10" s="7" t="s">
        <v>46</v>
      </c>
      <c r="B10" s="20" t="n">
        <v>3</v>
      </c>
      <c r="C10" s="17" t="s">
        <v>47</v>
      </c>
      <c r="E10" s="7" t="s">
        <v>48</v>
      </c>
    </row>
    <row r="11" customFormat="false" ht="15" hidden="false" customHeight="false" outlineLevel="0" collapsed="false">
      <c r="A11" s="7" t="s">
        <v>49</v>
      </c>
      <c r="B11" s="21" t="s">
        <v>31</v>
      </c>
      <c r="C11" s="17" t="s">
        <v>50</v>
      </c>
      <c r="E11" s="7" t="s">
        <v>51</v>
      </c>
    </row>
    <row r="12" customFormat="false" ht="15" hidden="false" customHeight="false" outlineLevel="0" collapsed="false">
      <c r="A12" s="7" t="s">
        <v>52</v>
      </c>
      <c r="B12" s="22" t="n">
        <v>46356</v>
      </c>
      <c r="C12" s="17" t="s">
        <v>53</v>
      </c>
    </row>
    <row r="13" customFormat="false" ht="15" hidden="false" customHeight="false" outlineLevel="0" collapsed="false">
      <c r="A13" s="7" t="s">
        <v>45</v>
      </c>
      <c r="B13" s="21" t="s">
        <v>48</v>
      </c>
      <c r="C13" s="17" t="s">
        <v>54</v>
      </c>
    </row>
    <row r="14" customFormat="false" ht="15" hidden="false" customHeight="false" outlineLevel="0" collapsed="false">
      <c r="A14" s="7" t="s">
        <v>55</v>
      </c>
      <c r="B14" s="23" t="n">
        <v>3</v>
      </c>
      <c r="C14" s="17" t="s">
        <v>56</v>
      </c>
    </row>
    <row r="15" customFormat="false" ht="15" hidden="false" customHeight="false" outlineLevel="0" collapsed="false">
      <c r="A15" s="13" t="s">
        <v>57</v>
      </c>
      <c r="B15" s="14"/>
      <c r="C15" s="14"/>
    </row>
    <row r="16" customFormat="false" ht="15" hidden="false" customHeight="false" outlineLevel="0" collapsed="false">
      <c r="A16" s="7" t="s">
        <v>58</v>
      </c>
      <c r="B16" s="24" t="n">
        <v>0.02</v>
      </c>
      <c r="C16" s="17" t="s">
        <v>59</v>
      </c>
    </row>
    <row r="17" customFormat="false" ht="15" hidden="false" customHeight="false" outlineLevel="0" collapsed="false">
      <c r="A17" s="7" t="s">
        <v>60</v>
      </c>
      <c r="B17" s="25" t="n">
        <v>1500</v>
      </c>
      <c r="C17" s="17"/>
    </row>
    <row r="18" customFormat="false" ht="15" hidden="false" customHeight="false" outlineLevel="0" collapsed="false">
      <c r="A18" s="7" t="s">
        <v>61</v>
      </c>
      <c r="B18" s="25" t="n">
        <v>0</v>
      </c>
      <c r="C18" s="17" t="s">
        <v>62</v>
      </c>
    </row>
    <row r="20" customFormat="false" ht="15" hidden="false" customHeight="false" outlineLevel="0" collapsed="false">
      <c r="A20" s="13" t="s">
        <v>63</v>
      </c>
      <c r="B20" s="14"/>
      <c r="C20" s="14"/>
    </row>
    <row r="21" customFormat="false" ht="15" hidden="false" customHeight="false" outlineLevel="0" collapsed="false">
      <c r="A21" s="7" t="s">
        <v>64</v>
      </c>
      <c r="B21" s="26" t="n">
        <f aca="false">INDEX($F$4:$F$7,MATCH(Freq,$E$4:$E$7,0))</f>
        <v>12</v>
      </c>
    </row>
    <row r="22" customFormat="false" ht="15" hidden="false" customHeight="false" outlineLevel="0" collapsed="false">
      <c r="A22" s="7" t="s">
        <v>65</v>
      </c>
      <c r="B22" s="26" t="n">
        <f aca="false">12/PPY</f>
        <v>1</v>
      </c>
    </row>
    <row r="23" customFormat="false" ht="15" hidden="false" customHeight="false" outlineLevel="0" collapsed="false">
      <c r="A23" s="7" t="s">
        <v>66</v>
      </c>
      <c r="B23" s="27" t="n">
        <f aca="false">Rate/PPY</f>
        <v>0.0183333333333333</v>
      </c>
    </row>
    <row r="24" customFormat="false" ht="15" hidden="false" customHeight="false" outlineLevel="0" collapsed="false">
      <c r="A24" s="7" t="s">
        <v>67</v>
      </c>
      <c r="B24" s="26" t="n">
        <f aca="false">ROUND(Term*PPY,0)</f>
        <v>36</v>
      </c>
    </row>
    <row r="25" customFormat="false" ht="15" hidden="false" customHeight="false" outlineLevel="0" collapsed="false">
      <c r="A25" s="7" t="s">
        <v>68</v>
      </c>
      <c r="B25" s="26" t="n">
        <f aca="false">MAX(1,NPer-Grace)</f>
        <v>33</v>
      </c>
    </row>
    <row r="26" customFormat="false" ht="15" hidden="false" customHeight="false" outlineLevel="0" collapsed="false">
      <c r="A26" s="7" t="s">
        <v>69</v>
      </c>
      <c r="B26" s="28" t="n">
        <f aca="false">IF(RP=0,Loan/NAm,PMT(RP,NAm,-Loan))</f>
        <v>10164.2820697455</v>
      </c>
    </row>
    <row r="27" customFormat="false" ht="15" hidden="false" customHeight="false" outlineLevel="0" collapsed="false">
      <c r="A27" s="7" t="s">
        <v>70</v>
      </c>
      <c r="B27" s="28" t="n">
        <f aca="false">Loan/NAm</f>
        <v>7575.75757575758</v>
      </c>
    </row>
    <row r="28" customFormat="false" ht="15" hidden="false" customHeight="false" outlineLevel="0" collapsed="false">
      <c r="A28" s="7" t="s">
        <v>71</v>
      </c>
      <c r="B28" s="28" t="n">
        <f aca="false">Loan*FeePct+OtherFees</f>
        <v>6500</v>
      </c>
    </row>
    <row r="29" customFormat="false" ht="15" hidden="false" customHeight="false" outlineLevel="0" collapsed="false">
      <c r="A29" s="29" t="s">
        <v>72</v>
      </c>
    </row>
    <row r="31" customFormat="false" ht="15" hidden="false" customHeight="false" outlineLevel="0" collapsed="false">
      <c r="A31" s="13" t="s">
        <v>73</v>
      </c>
      <c r="B31" s="14"/>
      <c r="C31" s="14"/>
    </row>
    <row r="32" customFormat="false" ht="15" hidden="false" customHeight="false" outlineLevel="0" collapsed="false">
      <c r="A32" s="12" t="s">
        <v>74</v>
      </c>
      <c r="B32" s="12" t="s">
        <v>75</v>
      </c>
    </row>
    <row r="33" customFormat="false" ht="15" hidden="false" customHeight="false" outlineLevel="0" collapsed="false">
      <c r="A33" s="30" t="n">
        <v>18</v>
      </c>
      <c r="B33" s="25" t="n">
        <v>30000</v>
      </c>
      <c r="C33" s="31" t="s">
        <v>76</v>
      </c>
    </row>
    <row r="34" customFormat="false" ht="15" hidden="false" customHeight="false" outlineLevel="0" collapsed="false">
      <c r="A34" s="30"/>
      <c r="B34" s="25"/>
    </row>
    <row r="35" customFormat="false" ht="15" hidden="false" customHeight="false" outlineLevel="0" collapsed="false">
      <c r="A35" s="30"/>
      <c r="B35" s="25"/>
    </row>
    <row r="36" customFormat="false" ht="15" hidden="false" customHeight="false" outlineLevel="0" collapsed="false">
      <c r="A36" s="30"/>
      <c r="B36" s="25"/>
    </row>
    <row r="37" customFormat="false" ht="15" hidden="false" customHeight="false" outlineLevel="0" collapsed="false">
      <c r="A37" s="30"/>
      <c r="B37" s="25"/>
    </row>
    <row r="38" customFormat="false" ht="15" hidden="false" customHeight="false" outlineLevel="0" collapsed="false">
      <c r="A38" s="30"/>
      <c r="B38" s="25"/>
    </row>
    <row r="39" customFormat="false" ht="15" hidden="false" customHeight="false" outlineLevel="0" collapsed="false">
      <c r="A39" s="30"/>
      <c r="B39" s="25"/>
    </row>
    <row r="40" customFormat="false" ht="15" hidden="false" customHeight="false" outlineLevel="0" collapsed="false">
      <c r="A40" s="30"/>
      <c r="B40" s="25"/>
    </row>
    <row r="41" customFormat="false" ht="15" hidden="false" customHeight="false" outlineLevel="0" collapsed="false">
      <c r="A41" s="30"/>
      <c r="B41" s="25"/>
    </row>
    <row r="42" customFormat="false" ht="15" hidden="false" customHeight="false" outlineLevel="0" collapsed="false">
      <c r="A42" s="30"/>
      <c r="B42" s="25"/>
    </row>
  </sheetData>
  <conditionalFormatting sqref="B24">
    <cfRule type="cellIs" priority="2" operator="greaterThan" aboveAverage="0" equalAverage="0" bottom="0" percent="0" rank="0" text="" dxfId="0">
      <formula>360</formula>
    </cfRule>
  </conditionalFormatting>
  <dataValidations count="2">
    <dataValidation allowBlank="false" errorStyle="stop" operator="between" showDropDown="false" showErrorMessage="false" showInputMessage="false" sqref="B11" type="list">
      <formula1>L_Freq</formula1>
      <formula2>0</formula2>
    </dataValidation>
    <dataValidation allowBlank="false" errorStyle="stop" operator="between" showDropDown="false" showErrorMessage="false" showInputMessage="false" sqref="B13" type="list">
      <formula1>L_Method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3E53"/>
    <pageSetUpPr fitToPage="false"/>
  </sheetPr>
  <dimension ref="A1:R3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7" min="6" style="0" width="13"/>
    <col collapsed="false" customWidth="true" hidden="false" outlineLevel="0" max="9" min="8" style="0" width="12"/>
    <col collapsed="false" customWidth="true" hidden="false" outlineLevel="0" max="10" min="10" style="0" width="14"/>
    <col collapsed="false" customWidth="true" hidden="false" outlineLevel="0" max="11" min="11" style="0" width="15"/>
    <col collapsed="false" customWidth="true" hidden="false" outlineLevel="0" max="12" min="12" style="0" width="14"/>
    <col collapsed="false" customWidth="true" hidden="false" outlineLevel="0" max="13" min="13" style="0" width="15"/>
    <col collapsed="false" customWidth="true" hidden="false" outlineLevel="0" max="14" min="14" style="0" width="7"/>
    <col collapsed="false" customWidth="true" hidden="false" outlineLevel="0" max="15" min="15" style="0" width="14"/>
    <col collapsed="false" customWidth="true" hidden="false" outlineLevel="0" max="18" min="16" style="0" width="13"/>
  </cols>
  <sheetData>
    <row r="1" customFormat="false" ht="17.35" hidden="false" customHeight="false" outlineLevel="0" collapsed="false">
      <c r="A1" s="10" t="s">
        <v>77</v>
      </c>
    </row>
    <row r="2" customFormat="false" ht="15" hidden="false" customHeight="false" outlineLevel="0" collapsed="false">
      <c r="A2" s="2" t="str">
        <f aca="false">Borrower&amp;"   |   "&amp;Lender&amp;"   |   "&amp;Cur&amp;" "&amp;TEXT(Loan,"#,##0")&amp;" at "&amp;TEXT(Rate,"0.00%")&amp;" p.a.   |   "&amp;Term&amp;" years, "&amp;LOWER(Freq)&amp;"   |   "&amp;Method</f>
        <v>[Business name]   |   [Bank / lender name]   |   GHS 250,000 at 22.00% p.a.   |   3 years, monthly   |   Equal instalments (annuity)</v>
      </c>
    </row>
    <row r="3" customFormat="false" ht="15" hidden="false" customHeight="false" outlineLevel="0" collapsed="false">
      <c r="A3" s="11" t="s">
        <v>78</v>
      </c>
    </row>
    <row r="5" customFormat="false" ht="15" hidden="false" customHeight="false" outlineLevel="0" collapsed="false">
      <c r="P5" s="32" t="s">
        <v>79</v>
      </c>
    </row>
    <row r="6" customFormat="false" ht="36" hidden="false" customHeight="true" outlineLevel="0" collapsed="false">
      <c r="A6" s="33" t="s">
        <v>80</v>
      </c>
      <c r="B6" s="33" t="s">
        <v>81</v>
      </c>
      <c r="C6" s="33" t="s">
        <v>82</v>
      </c>
      <c r="D6" s="33" t="s">
        <v>83</v>
      </c>
      <c r="E6" s="33" t="s">
        <v>84</v>
      </c>
      <c r="F6" s="33" t="s">
        <v>85</v>
      </c>
      <c r="G6" s="33" t="s">
        <v>86</v>
      </c>
      <c r="H6" s="33" t="s">
        <v>87</v>
      </c>
      <c r="I6" s="33" t="s">
        <v>88</v>
      </c>
      <c r="J6" s="33" t="s">
        <v>89</v>
      </c>
      <c r="K6" s="33" t="s">
        <v>90</v>
      </c>
      <c r="L6" s="33" t="s">
        <v>91</v>
      </c>
      <c r="M6" s="33" t="s">
        <v>92</v>
      </c>
      <c r="N6" s="33" t="s">
        <v>93</v>
      </c>
      <c r="O6" s="33" t="s">
        <v>94</v>
      </c>
      <c r="P6" s="33" t="s">
        <v>95</v>
      </c>
      <c r="Q6" s="33" t="s">
        <v>96</v>
      </c>
      <c r="R6" s="33" t="s">
        <v>97</v>
      </c>
    </row>
    <row r="7" customFormat="false" ht="23.85" hidden="false" customHeight="false" outlineLevel="0" collapsed="false">
      <c r="A7" s="34" t="n">
        <v>0</v>
      </c>
      <c r="B7" s="35" t="n">
        <f aca="false">Disb</f>
        <v>46356</v>
      </c>
      <c r="C7" s="34" t="s">
        <v>98</v>
      </c>
      <c r="D7" s="36"/>
      <c r="E7" s="36"/>
      <c r="F7" s="36"/>
      <c r="G7" s="36"/>
      <c r="H7" s="36"/>
      <c r="I7" s="36"/>
      <c r="J7" s="36"/>
      <c r="K7" s="37" t="n">
        <f aca="false">Loan</f>
        <v>250000</v>
      </c>
      <c r="L7" s="37" t="n">
        <v>0</v>
      </c>
      <c r="M7" s="37" t="n">
        <v>0</v>
      </c>
      <c r="N7" s="34" t="n">
        <f aca="false">YEAR(B7)</f>
        <v>2026</v>
      </c>
      <c r="O7" s="37" t="n">
        <f aca="false">-(Loan-Fees)</f>
        <v>-243500</v>
      </c>
      <c r="P7" s="36"/>
      <c r="Q7" s="36"/>
      <c r="R7" s="37" t="n">
        <f aca="false">Loan</f>
        <v>250000</v>
      </c>
    </row>
    <row r="8" customFormat="false" ht="15" hidden="false" customHeight="false" outlineLevel="0" collapsed="false">
      <c r="A8" s="38" t="n">
        <f aca="false">IF(AND(N(K7)&gt;0.005,A7&lt;NPer),A7+1,"")</f>
        <v>1</v>
      </c>
      <c r="B8" s="39" t="n">
        <f aca="false">IF(A8="","",EDATE(Disb,A8*MPP))</f>
        <v>46386</v>
      </c>
      <c r="C8" s="40" t="str">
        <f aca="false">IF(A8="","",IF(A8&lt;=Grace,"Grace","Repayment"))</f>
        <v>Grace</v>
      </c>
      <c r="D8" s="41" t="n">
        <f aca="false">IF(A8="","",K7)</f>
        <v>250000</v>
      </c>
      <c r="E8" s="41" t="n">
        <f aca="false">IF(AND(A8&lt;&gt;"",D8&gt;0.005),F8+G8,"")</f>
        <v>4583.33</v>
      </c>
      <c r="F8" s="41" t="n">
        <f aca="false">IF(AND(A8&lt;&gt;"",D8&gt;0.005),ROUND(D8*RP,2),"")</f>
        <v>4583.33</v>
      </c>
      <c r="G8" s="41" t="n">
        <f aca="false">IF(AND(A8&lt;&gt;"",D8&gt;0.005),IF(A8&lt;=Grace,0,IF(A8=NPer,D8,IF(Method="Equal principal (reducing payments)",MIN(ROUND(EqPrin,2),D8),MIN(ROUND(Annuity-F8,2),D8)))),"")</f>
        <v>0</v>
      </c>
      <c r="H8" s="41" t="n">
        <f aca="false">IF(AND(A8&lt;&gt;"",D8&gt;0.005),IF(A8&lt;=Grace,0,MIN(Extra,D8-G8)),"")</f>
        <v>0</v>
      </c>
      <c r="I8" s="41" t="n">
        <f aca="false">IF(AND(A8&lt;&gt;"",D8&gt;0.005),MIN(SUMIF(LumpN,A8,LumpAmt),D8-G8-H8),"")</f>
        <v>0</v>
      </c>
      <c r="J8" s="42" t="n">
        <f aca="false">IF(AND(A8&lt;&gt;"",D8&gt;0.005),E8+H8+I8,"")</f>
        <v>4583.33</v>
      </c>
      <c r="K8" s="42" t="n">
        <f aca="false">IF(AND(A8&lt;&gt;"",D8&gt;0.005),ROUND(D8-G8-H8-I8,2),"")</f>
        <v>250000</v>
      </c>
      <c r="L8" s="41" t="n">
        <f aca="false">IF(AND(A8&lt;&gt;"",D8&gt;0.005),L7+F8,"")</f>
        <v>4583.33</v>
      </c>
      <c r="M8" s="41" t="n">
        <f aca="false">IF(AND(A8&lt;&gt;"",D8&gt;0.005),M7+G8+H8+I8,"")</f>
        <v>0</v>
      </c>
      <c r="N8" s="43" t="n">
        <f aca="false">IF(B8="","",YEAR(B8))</f>
        <v>2026</v>
      </c>
      <c r="O8" s="44" t="n">
        <f aca="false">IF(AND(A8&lt;&gt;"",D8&gt;0.005),J8,0)</f>
        <v>4583.33</v>
      </c>
      <c r="P8" s="44" t="n">
        <f aca="false">R7</f>
        <v>250000</v>
      </c>
      <c r="Q8" s="44" t="n">
        <f aca="false">IF(AND(P8&gt;0.005,1&lt;=NPer),ROUND(P8*RP,2),0)</f>
        <v>4583.33</v>
      </c>
      <c r="R8" s="44" t="n">
        <f aca="false">IF(AND(P8&gt;0.005,1&lt;=NPer),ROUND(P8-IF(1&lt;=Grace,0,IF(1=NPer,P8,IF(Method="Equal principal (reducing payments)",MIN(ROUND(EqPrin,2),P8),MIN(ROUND(Annuity-Q8,2),P8)))),2),0)</f>
        <v>250000</v>
      </c>
    </row>
    <row r="9" customFormat="false" ht="15" hidden="false" customHeight="false" outlineLevel="0" collapsed="false">
      <c r="A9" s="38" t="n">
        <f aca="false">IF(AND(N(K8)&gt;0.005,A8&lt;NPer),A8+1,"")</f>
        <v>2</v>
      </c>
      <c r="B9" s="39" t="n">
        <f aca="false">IF(A9="","",EDATE(Disb,A9*MPP))</f>
        <v>46417</v>
      </c>
      <c r="C9" s="40" t="str">
        <f aca="false">IF(A9="","",IF(A9&lt;=Grace,"Grace","Repayment"))</f>
        <v>Grace</v>
      </c>
      <c r="D9" s="41" t="n">
        <f aca="false">IF(A9="","",K8)</f>
        <v>250000</v>
      </c>
      <c r="E9" s="41" t="n">
        <f aca="false">IF(AND(A9&lt;&gt;"",D9&gt;0.005),F9+G9,"")</f>
        <v>4583.33</v>
      </c>
      <c r="F9" s="41" t="n">
        <f aca="false">IF(AND(A9&lt;&gt;"",D9&gt;0.005),ROUND(D9*RP,2),"")</f>
        <v>4583.33</v>
      </c>
      <c r="G9" s="41" t="n">
        <f aca="false">IF(AND(A9&lt;&gt;"",D9&gt;0.005),IF(A9&lt;=Grace,0,IF(A9=NPer,D9,IF(Method="Equal principal (reducing payments)",MIN(ROUND(EqPrin,2),D9),MIN(ROUND(Annuity-F9,2),D9)))),"")</f>
        <v>0</v>
      </c>
      <c r="H9" s="41" t="n">
        <f aca="false">IF(AND(A9&lt;&gt;"",D9&gt;0.005),IF(A9&lt;=Grace,0,MIN(Extra,D9-G9)),"")</f>
        <v>0</v>
      </c>
      <c r="I9" s="41" t="n">
        <f aca="false">IF(AND(A9&lt;&gt;"",D9&gt;0.005),MIN(SUMIF(LumpN,A9,LumpAmt),D9-G9-H9),"")</f>
        <v>0</v>
      </c>
      <c r="J9" s="42" t="n">
        <f aca="false">IF(AND(A9&lt;&gt;"",D9&gt;0.005),E9+H9+I9,"")</f>
        <v>4583.33</v>
      </c>
      <c r="K9" s="42" t="n">
        <f aca="false">IF(AND(A9&lt;&gt;"",D9&gt;0.005),ROUND(D9-G9-H9-I9,2),"")</f>
        <v>250000</v>
      </c>
      <c r="L9" s="41" t="n">
        <f aca="false">IF(AND(A9&lt;&gt;"",D9&gt;0.005),L8+F9,"")</f>
        <v>9166.66</v>
      </c>
      <c r="M9" s="41" t="n">
        <f aca="false">IF(AND(A9&lt;&gt;"",D9&gt;0.005),M8+G9+H9+I9,"")</f>
        <v>0</v>
      </c>
      <c r="N9" s="43" t="n">
        <f aca="false">IF(B9="","",YEAR(B9))</f>
        <v>2027</v>
      </c>
      <c r="O9" s="44" t="n">
        <f aca="false">IF(AND(A9&lt;&gt;"",D9&gt;0.005),J9,0)</f>
        <v>4583.33</v>
      </c>
      <c r="P9" s="44" t="n">
        <f aca="false">R8</f>
        <v>250000</v>
      </c>
      <c r="Q9" s="44" t="n">
        <f aca="false">IF(AND(P9&gt;0.005,2&lt;=NPer),ROUND(P9*RP,2),0)</f>
        <v>4583.33</v>
      </c>
      <c r="R9" s="44" t="n">
        <f aca="false">IF(AND(P9&gt;0.005,2&lt;=NPer),ROUND(P9-IF(2&lt;=Grace,0,IF(2=NPer,P9,IF(Method="Equal principal (reducing payments)",MIN(ROUND(EqPrin,2),P9),MIN(ROUND(Annuity-Q9,2),P9)))),2),0)</f>
        <v>250000</v>
      </c>
    </row>
    <row r="10" customFormat="false" ht="15" hidden="false" customHeight="false" outlineLevel="0" collapsed="false">
      <c r="A10" s="38" t="n">
        <f aca="false">IF(AND(N(K9)&gt;0.005,A9&lt;NPer),A9+1,"")</f>
        <v>3</v>
      </c>
      <c r="B10" s="39" t="n">
        <f aca="false">IF(A10="","",EDATE(Disb,A10*MPP))</f>
        <v>46446</v>
      </c>
      <c r="C10" s="40" t="str">
        <f aca="false">IF(A10="","",IF(A10&lt;=Grace,"Grace","Repayment"))</f>
        <v>Grace</v>
      </c>
      <c r="D10" s="41" t="n">
        <f aca="false">IF(A10="","",K9)</f>
        <v>250000</v>
      </c>
      <c r="E10" s="41" t="n">
        <f aca="false">IF(AND(A10&lt;&gt;"",D10&gt;0.005),F10+G10,"")</f>
        <v>4583.33</v>
      </c>
      <c r="F10" s="41" t="n">
        <f aca="false">IF(AND(A10&lt;&gt;"",D10&gt;0.005),ROUND(D10*RP,2),"")</f>
        <v>4583.33</v>
      </c>
      <c r="G10" s="41" t="n">
        <f aca="false">IF(AND(A10&lt;&gt;"",D10&gt;0.005),IF(A10&lt;=Grace,0,IF(A10=NPer,D10,IF(Method="Equal principal (reducing payments)",MIN(ROUND(EqPrin,2),D10),MIN(ROUND(Annuity-F10,2),D10)))),"")</f>
        <v>0</v>
      </c>
      <c r="H10" s="41" t="n">
        <f aca="false">IF(AND(A10&lt;&gt;"",D10&gt;0.005),IF(A10&lt;=Grace,0,MIN(Extra,D10-G10)),"")</f>
        <v>0</v>
      </c>
      <c r="I10" s="41" t="n">
        <f aca="false">IF(AND(A10&lt;&gt;"",D10&gt;0.005),MIN(SUMIF(LumpN,A10,LumpAmt),D10-G10-H10),"")</f>
        <v>0</v>
      </c>
      <c r="J10" s="42" t="n">
        <f aca="false">IF(AND(A10&lt;&gt;"",D10&gt;0.005),E10+H10+I10,"")</f>
        <v>4583.33</v>
      </c>
      <c r="K10" s="42" t="n">
        <f aca="false">IF(AND(A10&lt;&gt;"",D10&gt;0.005),ROUND(D10-G10-H10-I10,2),"")</f>
        <v>250000</v>
      </c>
      <c r="L10" s="41" t="n">
        <f aca="false">IF(AND(A10&lt;&gt;"",D10&gt;0.005),L9+F10,"")</f>
        <v>13749.99</v>
      </c>
      <c r="M10" s="41" t="n">
        <f aca="false">IF(AND(A10&lt;&gt;"",D10&gt;0.005),M9+G10+H10+I10,"")</f>
        <v>0</v>
      </c>
      <c r="N10" s="43" t="n">
        <f aca="false">IF(B10="","",YEAR(B10))</f>
        <v>2027</v>
      </c>
      <c r="O10" s="44" t="n">
        <f aca="false">IF(AND(A10&lt;&gt;"",D10&gt;0.005),J10,0)</f>
        <v>4583.33</v>
      </c>
      <c r="P10" s="44" t="n">
        <f aca="false">R9</f>
        <v>250000</v>
      </c>
      <c r="Q10" s="44" t="n">
        <f aca="false">IF(AND(P10&gt;0.005,3&lt;=NPer),ROUND(P10*RP,2),0)</f>
        <v>4583.33</v>
      </c>
      <c r="R10" s="44" t="n">
        <f aca="false">IF(AND(P10&gt;0.005,3&lt;=NPer),ROUND(P10-IF(3&lt;=Grace,0,IF(3=NPer,P10,IF(Method="Equal principal (reducing payments)",MIN(ROUND(EqPrin,2),P10),MIN(ROUND(Annuity-Q10,2),P10)))),2),0)</f>
        <v>250000</v>
      </c>
    </row>
    <row r="11" customFormat="false" ht="15" hidden="false" customHeight="false" outlineLevel="0" collapsed="false">
      <c r="A11" s="38" t="n">
        <f aca="false">IF(AND(N(K10)&gt;0.005,A10&lt;NPer),A10+1,"")</f>
        <v>4</v>
      </c>
      <c r="B11" s="39" t="n">
        <f aca="false">IF(A11="","",EDATE(Disb,A11*MPP))</f>
        <v>46476</v>
      </c>
      <c r="C11" s="40" t="str">
        <f aca="false">IF(A11="","",IF(A11&lt;=Grace,"Grace","Repayment"))</f>
        <v>Repayment</v>
      </c>
      <c r="D11" s="41" t="n">
        <f aca="false">IF(A11="","",K10)</f>
        <v>250000</v>
      </c>
      <c r="E11" s="41" t="n">
        <f aca="false">IF(AND(A11&lt;&gt;"",D11&gt;0.005),F11+G11,"")</f>
        <v>10164.28</v>
      </c>
      <c r="F11" s="41" t="n">
        <f aca="false">IF(AND(A11&lt;&gt;"",D11&gt;0.005),ROUND(D11*RP,2),"")</f>
        <v>4583.33</v>
      </c>
      <c r="G11" s="41" t="n">
        <f aca="false">IF(AND(A11&lt;&gt;"",D11&gt;0.005),IF(A11&lt;=Grace,0,IF(A11=NPer,D11,IF(Method="Equal principal (reducing payments)",MIN(ROUND(EqPrin,2),D11),MIN(ROUND(Annuity-F11,2),D11)))),"")</f>
        <v>5580.95</v>
      </c>
      <c r="H11" s="41" t="n">
        <f aca="false">IF(AND(A11&lt;&gt;"",D11&gt;0.005),IF(A11&lt;=Grace,0,MIN(Extra,D11-G11)),"")</f>
        <v>0</v>
      </c>
      <c r="I11" s="41" t="n">
        <f aca="false">IF(AND(A11&lt;&gt;"",D11&gt;0.005),MIN(SUMIF(LumpN,A11,LumpAmt),D11-G11-H11),"")</f>
        <v>0</v>
      </c>
      <c r="J11" s="42" t="n">
        <f aca="false">IF(AND(A11&lt;&gt;"",D11&gt;0.005),E11+H11+I11,"")</f>
        <v>10164.28</v>
      </c>
      <c r="K11" s="42" t="n">
        <f aca="false">IF(AND(A11&lt;&gt;"",D11&gt;0.005),ROUND(D11-G11-H11-I11,2),"")</f>
        <v>244419.05</v>
      </c>
      <c r="L11" s="41" t="n">
        <f aca="false">IF(AND(A11&lt;&gt;"",D11&gt;0.005),L10+F11,"")</f>
        <v>18333.32</v>
      </c>
      <c r="M11" s="41" t="n">
        <f aca="false">IF(AND(A11&lt;&gt;"",D11&gt;0.005),M10+G11+H11+I11,"")</f>
        <v>5580.95</v>
      </c>
      <c r="N11" s="43" t="n">
        <f aca="false">IF(B11="","",YEAR(B11))</f>
        <v>2027</v>
      </c>
      <c r="O11" s="44" t="n">
        <f aca="false">IF(AND(A11&lt;&gt;"",D11&gt;0.005),J11,0)</f>
        <v>10164.28</v>
      </c>
      <c r="P11" s="44" t="n">
        <f aca="false">R10</f>
        <v>250000</v>
      </c>
      <c r="Q11" s="44" t="n">
        <f aca="false">IF(AND(P11&gt;0.005,4&lt;=NPer),ROUND(P11*RP,2),0)</f>
        <v>4583.33</v>
      </c>
      <c r="R11" s="44" t="n">
        <f aca="false">IF(AND(P11&gt;0.005,4&lt;=NPer),ROUND(P11-IF(4&lt;=Grace,0,IF(4=NPer,P11,IF(Method="Equal principal (reducing payments)",MIN(ROUND(EqPrin,2),P11),MIN(ROUND(Annuity-Q11,2),P11)))),2),0)</f>
        <v>244419.05</v>
      </c>
    </row>
    <row r="12" customFormat="false" ht="15" hidden="false" customHeight="false" outlineLevel="0" collapsed="false">
      <c r="A12" s="38" t="n">
        <f aca="false">IF(AND(N(K11)&gt;0.005,A11&lt;NPer),A11+1,"")</f>
        <v>5</v>
      </c>
      <c r="B12" s="39" t="n">
        <f aca="false">IF(A12="","",EDATE(Disb,A12*MPP))</f>
        <v>46507</v>
      </c>
      <c r="C12" s="40" t="str">
        <f aca="false">IF(A12="","",IF(A12&lt;=Grace,"Grace","Repayment"))</f>
        <v>Repayment</v>
      </c>
      <c r="D12" s="41" t="n">
        <f aca="false">IF(A12="","",K11)</f>
        <v>244419.05</v>
      </c>
      <c r="E12" s="41" t="n">
        <f aca="false">IF(AND(A12&lt;&gt;"",D12&gt;0.005),F12+G12,"")</f>
        <v>10164.28</v>
      </c>
      <c r="F12" s="41" t="n">
        <f aca="false">IF(AND(A12&lt;&gt;"",D12&gt;0.005),ROUND(D12*RP,2),"")</f>
        <v>4481.02</v>
      </c>
      <c r="G12" s="41" t="n">
        <f aca="false">IF(AND(A12&lt;&gt;"",D12&gt;0.005),IF(A12&lt;=Grace,0,IF(A12=NPer,D12,IF(Method="Equal principal (reducing payments)",MIN(ROUND(EqPrin,2),D12),MIN(ROUND(Annuity-F12,2),D12)))),"")</f>
        <v>5683.26</v>
      </c>
      <c r="H12" s="41" t="n">
        <f aca="false">IF(AND(A12&lt;&gt;"",D12&gt;0.005),IF(A12&lt;=Grace,0,MIN(Extra,D12-G12)),"")</f>
        <v>0</v>
      </c>
      <c r="I12" s="41" t="n">
        <f aca="false">IF(AND(A12&lt;&gt;"",D12&gt;0.005),MIN(SUMIF(LumpN,A12,LumpAmt),D12-G12-H12),"")</f>
        <v>0</v>
      </c>
      <c r="J12" s="42" t="n">
        <f aca="false">IF(AND(A12&lt;&gt;"",D12&gt;0.005),E12+H12+I12,"")</f>
        <v>10164.28</v>
      </c>
      <c r="K12" s="42" t="n">
        <f aca="false">IF(AND(A12&lt;&gt;"",D12&gt;0.005),ROUND(D12-G12-H12-I12,2),"")</f>
        <v>238735.79</v>
      </c>
      <c r="L12" s="41" t="n">
        <f aca="false">IF(AND(A12&lt;&gt;"",D12&gt;0.005),L11+F12,"")</f>
        <v>22814.34</v>
      </c>
      <c r="M12" s="41" t="n">
        <f aca="false">IF(AND(A12&lt;&gt;"",D12&gt;0.005),M11+G12+H12+I12,"")</f>
        <v>11264.21</v>
      </c>
      <c r="N12" s="43" t="n">
        <f aca="false">IF(B12="","",YEAR(B12))</f>
        <v>2027</v>
      </c>
      <c r="O12" s="44" t="n">
        <f aca="false">IF(AND(A12&lt;&gt;"",D12&gt;0.005),J12,0)</f>
        <v>10164.28</v>
      </c>
      <c r="P12" s="44" t="n">
        <f aca="false">R11</f>
        <v>244419.05</v>
      </c>
      <c r="Q12" s="44" t="n">
        <f aca="false">IF(AND(P12&gt;0.005,5&lt;=NPer),ROUND(P12*RP,2),0)</f>
        <v>4481.02</v>
      </c>
      <c r="R12" s="44" t="n">
        <f aca="false">IF(AND(P12&gt;0.005,5&lt;=NPer),ROUND(P12-IF(5&lt;=Grace,0,IF(5=NPer,P12,IF(Method="Equal principal (reducing payments)",MIN(ROUND(EqPrin,2),P12),MIN(ROUND(Annuity-Q12,2),P12)))),2),0)</f>
        <v>238735.79</v>
      </c>
    </row>
    <row r="13" customFormat="false" ht="15" hidden="false" customHeight="false" outlineLevel="0" collapsed="false">
      <c r="A13" s="38" t="n">
        <f aca="false">IF(AND(N(K12)&gt;0.005,A12&lt;NPer),A12+1,"")</f>
        <v>6</v>
      </c>
      <c r="B13" s="39" t="n">
        <f aca="false">IF(A13="","",EDATE(Disb,A13*MPP))</f>
        <v>46537</v>
      </c>
      <c r="C13" s="40" t="str">
        <f aca="false">IF(A13="","",IF(A13&lt;=Grace,"Grace","Repayment"))</f>
        <v>Repayment</v>
      </c>
      <c r="D13" s="41" t="n">
        <f aca="false">IF(A13="","",K12)</f>
        <v>238735.79</v>
      </c>
      <c r="E13" s="41" t="n">
        <f aca="false">IF(AND(A13&lt;&gt;"",D13&gt;0.005),F13+G13,"")</f>
        <v>10164.28</v>
      </c>
      <c r="F13" s="41" t="n">
        <f aca="false">IF(AND(A13&lt;&gt;"",D13&gt;0.005),ROUND(D13*RP,2),"")</f>
        <v>4376.82</v>
      </c>
      <c r="G13" s="41" t="n">
        <f aca="false">IF(AND(A13&lt;&gt;"",D13&gt;0.005),IF(A13&lt;=Grace,0,IF(A13=NPer,D13,IF(Method="Equal principal (reducing payments)",MIN(ROUND(EqPrin,2),D13),MIN(ROUND(Annuity-F13,2),D13)))),"")</f>
        <v>5787.46</v>
      </c>
      <c r="H13" s="41" t="n">
        <f aca="false">IF(AND(A13&lt;&gt;"",D13&gt;0.005),IF(A13&lt;=Grace,0,MIN(Extra,D13-G13)),"")</f>
        <v>0</v>
      </c>
      <c r="I13" s="41" t="n">
        <f aca="false">IF(AND(A13&lt;&gt;"",D13&gt;0.005),MIN(SUMIF(LumpN,A13,LumpAmt),D13-G13-H13),"")</f>
        <v>0</v>
      </c>
      <c r="J13" s="42" t="n">
        <f aca="false">IF(AND(A13&lt;&gt;"",D13&gt;0.005),E13+H13+I13,"")</f>
        <v>10164.28</v>
      </c>
      <c r="K13" s="42" t="n">
        <f aca="false">IF(AND(A13&lt;&gt;"",D13&gt;0.005),ROUND(D13-G13-H13-I13,2),"")</f>
        <v>232948.33</v>
      </c>
      <c r="L13" s="41" t="n">
        <f aca="false">IF(AND(A13&lt;&gt;"",D13&gt;0.005),L12+F13,"")</f>
        <v>27191.16</v>
      </c>
      <c r="M13" s="41" t="n">
        <f aca="false">IF(AND(A13&lt;&gt;"",D13&gt;0.005),M12+G13+H13+I13,"")</f>
        <v>17051.67</v>
      </c>
      <c r="N13" s="43" t="n">
        <f aca="false">IF(B13="","",YEAR(B13))</f>
        <v>2027</v>
      </c>
      <c r="O13" s="44" t="n">
        <f aca="false">IF(AND(A13&lt;&gt;"",D13&gt;0.005),J13,0)</f>
        <v>10164.28</v>
      </c>
      <c r="P13" s="44" t="n">
        <f aca="false">R12</f>
        <v>238735.79</v>
      </c>
      <c r="Q13" s="44" t="n">
        <f aca="false">IF(AND(P13&gt;0.005,6&lt;=NPer),ROUND(P13*RP,2),0)</f>
        <v>4376.82</v>
      </c>
      <c r="R13" s="44" t="n">
        <f aca="false">IF(AND(P13&gt;0.005,6&lt;=NPer),ROUND(P13-IF(6&lt;=Grace,0,IF(6=NPer,P13,IF(Method="Equal principal (reducing payments)",MIN(ROUND(EqPrin,2),P13),MIN(ROUND(Annuity-Q13,2),P13)))),2),0)</f>
        <v>232948.33</v>
      </c>
    </row>
    <row r="14" customFormat="false" ht="15" hidden="false" customHeight="false" outlineLevel="0" collapsed="false">
      <c r="A14" s="38" t="n">
        <f aca="false">IF(AND(N(K13)&gt;0.005,A13&lt;NPer),A13+1,"")</f>
        <v>7</v>
      </c>
      <c r="B14" s="39" t="n">
        <f aca="false">IF(A14="","",EDATE(Disb,A14*MPP))</f>
        <v>46568</v>
      </c>
      <c r="C14" s="40" t="str">
        <f aca="false">IF(A14="","",IF(A14&lt;=Grace,"Grace","Repayment"))</f>
        <v>Repayment</v>
      </c>
      <c r="D14" s="41" t="n">
        <f aca="false">IF(A14="","",K13)</f>
        <v>232948.33</v>
      </c>
      <c r="E14" s="41" t="n">
        <f aca="false">IF(AND(A14&lt;&gt;"",D14&gt;0.005),F14+G14,"")</f>
        <v>10164.28</v>
      </c>
      <c r="F14" s="41" t="n">
        <f aca="false">IF(AND(A14&lt;&gt;"",D14&gt;0.005),ROUND(D14*RP,2),"")</f>
        <v>4270.72</v>
      </c>
      <c r="G14" s="41" t="n">
        <f aca="false">IF(AND(A14&lt;&gt;"",D14&gt;0.005),IF(A14&lt;=Grace,0,IF(A14=NPer,D14,IF(Method="Equal principal (reducing payments)",MIN(ROUND(EqPrin,2),D14),MIN(ROUND(Annuity-F14,2),D14)))),"")</f>
        <v>5893.56</v>
      </c>
      <c r="H14" s="41" t="n">
        <f aca="false">IF(AND(A14&lt;&gt;"",D14&gt;0.005),IF(A14&lt;=Grace,0,MIN(Extra,D14-G14)),"")</f>
        <v>0</v>
      </c>
      <c r="I14" s="41" t="n">
        <f aca="false">IF(AND(A14&lt;&gt;"",D14&gt;0.005),MIN(SUMIF(LumpN,A14,LumpAmt),D14-G14-H14),"")</f>
        <v>0</v>
      </c>
      <c r="J14" s="42" t="n">
        <f aca="false">IF(AND(A14&lt;&gt;"",D14&gt;0.005),E14+H14+I14,"")</f>
        <v>10164.28</v>
      </c>
      <c r="K14" s="42" t="n">
        <f aca="false">IF(AND(A14&lt;&gt;"",D14&gt;0.005),ROUND(D14-G14-H14-I14,2),"")</f>
        <v>227054.77</v>
      </c>
      <c r="L14" s="41" t="n">
        <f aca="false">IF(AND(A14&lt;&gt;"",D14&gt;0.005),L13+F14,"")</f>
        <v>31461.88</v>
      </c>
      <c r="M14" s="41" t="n">
        <f aca="false">IF(AND(A14&lt;&gt;"",D14&gt;0.005),M13+G14+H14+I14,"")</f>
        <v>22945.23</v>
      </c>
      <c r="N14" s="43" t="n">
        <f aca="false">IF(B14="","",YEAR(B14))</f>
        <v>2027</v>
      </c>
      <c r="O14" s="44" t="n">
        <f aca="false">IF(AND(A14&lt;&gt;"",D14&gt;0.005),J14,0)</f>
        <v>10164.28</v>
      </c>
      <c r="P14" s="44" t="n">
        <f aca="false">R13</f>
        <v>232948.33</v>
      </c>
      <c r="Q14" s="44" t="n">
        <f aca="false">IF(AND(P14&gt;0.005,7&lt;=NPer),ROUND(P14*RP,2),0)</f>
        <v>4270.72</v>
      </c>
      <c r="R14" s="44" t="n">
        <f aca="false">IF(AND(P14&gt;0.005,7&lt;=NPer),ROUND(P14-IF(7&lt;=Grace,0,IF(7=NPer,P14,IF(Method="Equal principal (reducing payments)",MIN(ROUND(EqPrin,2),P14),MIN(ROUND(Annuity-Q14,2),P14)))),2),0)</f>
        <v>227054.77</v>
      </c>
    </row>
    <row r="15" customFormat="false" ht="15" hidden="false" customHeight="false" outlineLevel="0" collapsed="false">
      <c r="A15" s="38" t="n">
        <f aca="false">IF(AND(N(K14)&gt;0.005,A14&lt;NPer),A14+1,"")</f>
        <v>8</v>
      </c>
      <c r="B15" s="39" t="n">
        <f aca="false">IF(A15="","",EDATE(Disb,A15*MPP))</f>
        <v>46598</v>
      </c>
      <c r="C15" s="40" t="str">
        <f aca="false">IF(A15="","",IF(A15&lt;=Grace,"Grace","Repayment"))</f>
        <v>Repayment</v>
      </c>
      <c r="D15" s="41" t="n">
        <f aca="false">IF(A15="","",K14)</f>
        <v>227054.77</v>
      </c>
      <c r="E15" s="41" t="n">
        <f aca="false">IF(AND(A15&lt;&gt;"",D15&gt;0.005),F15+G15,"")</f>
        <v>10164.28</v>
      </c>
      <c r="F15" s="41" t="n">
        <f aca="false">IF(AND(A15&lt;&gt;"",D15&gt;0.005),ROUND(D15*RP,2),"")</f>
        <v>4162.67</v>
      </c>
      <c r="G15" s="41" t="n">
        <f aca="false">IF(AND(A15&lt;&gt;"",D15&gt;0.005),IF(A15&lt;=Grace,0,IF(A15=NPer,D15,IF(Method="Equal principal (reducing payments)",MIN(ROUND(EqPrin,2),D15),MIN(ROUND(Annuity-F15,2),D15)))),"")</f>
        <v>6001.61</v>
      </c>
      <c r="H15" s="41" t="n">
        <f aca="false">IF(AND(A15&lt;&gt;"",D15&gt;0.005),IF(A15&lt;=Grace,0,MIN(Extra,D15-G15)),"")</f>
        <v>0</v>
      </c>
      <c r="I15" s="41" t="n">
        <f aca="false">IF(AND(A15&lt;&gt;"",D15&gt;0.005),MIN(SUMIF(LumpN,A15,LumpAmt),D15-G15-H15),"")</f>
        <v>0</v>
      </c>
      <c r="J15" s="42" t="n">
        <f aca="false">IF(AND(A15&lt;&gt;"",D15&gt;0.005),E15+H15+I15,"")</f>
        <v>10164.28</v>
      </c>
      <c r="K15" s="42" t="n">
        <f aca="false">IF(AND(A15&lt;&gt;"",D15&gt;0.005),ROUND(D15-G15-H15-I15,2),"")</f>
        <v>221053.16</v>
      </c>
      <c r="L15" s="41" t="n">
        <f aca="false">IF(AND(A15&lt;&gt;"",D15&gt;0.005),L14+F15,"")</f>
        <v>35624.55</v>
      </c>
      <c r="M15" s="41" t="n">
        <f aca="false">IF(AND(A15&lt;&gt;"",D15&gt;0.005),M14+G15+H15+I15,"")</f>
        <v>28946.84</v>
      </c>
      <c r="N15" s="43" t="n">
        <f aca="false">IF(B15="","",YEAR(B15))</f>
        <v>2027</v>
      </c>
      <c r="O15" s="44" t="n">
        <f aca="false">IF(AND(A15&lt;&gt;"",D15&gt;0.005),J15,0)</f>
        <v>10164.28</v>
      </c>
      <c r="P15" s="44" t="n">
        <f aca="false">R14</f>
        <v>227054.77</v>
      </c>
      <c r="Q15" s="44" t="n">
        <f aca="false">IF(AND(P15&gt;0.005,8&lt;=NPer),ROUND(P15*RP,2),0)</f>
        <v>4162.67</v>
      </c>
      <c r="R15" s="44" t="n">
        <f aca="false">IF(AND(P15&gt;0.005,8&lt;=NPer),ROUND(P15-IF(8&lt;=Grace,0,IF(8=NPer,P15,IF(Method="Equal principal (reducing payments)",MIN(ROUND(EqPrin,2),P15),MIN(ROUND(Annuity-Q15,2),P15)))),2),0)</f>
        <v>221053.16</v>
      </c>
    </row>
    <row r="16" customFormat="false" ht="15" hidden="false" customHeight="false" outlineLevel="0" collapsed="false">
      <c r="A16" s="38" t="n">
        <f aca="false">IF(AND(N(K15)&gt;0.005,A15&lt;NPer),A15+1,"")</f>
        <v>9</v>
      </c>
      <c r="B16" s="39" t="n">
        <f aca="false">IF(A16="","",EDATE(Disb,A16*MPP))</f>
        <v>46629</v>
      </c>
      <c r="C16" s="40" t="str">
        <f aca="false">IF(A16="","",IF(A16&lt;=Grace,"Grace","Repayment"))</f>
        <v>Repayment</v>
      </c>
      <c r="D16" s="41" t="n">
        <f aca="false">IF(A16="","",K15)</f>
        <v>221053.16</v>
      </c>
      <c r="E16" s="41" t="n">
        <f aca="false">IF(AND(A16&lt;&gt;"",D16&gt;0.005),F16+G16,"")</f>
        <v>10164.28</v>
      </c>
      <c r="F16" s="41" t="n">
        <f aca="false">IF(AND(A16&lt;&gt;"",D16&gt;0.005),ROUND(D16*RP,2),"")</f>
        <v>4052.64</v>
      </c>
      <c r="G16" s="41" t="n">
        <f aca="false">IF(AND(A16&lt;&gt;"",D16&gt;0.005),IF(A16&lt;=Grace,0,IF(A16=NPer,D16,IF(Method="Equal principal (reducing payments)",MIN(ROUND(EqPrin,2),D16),MIN(ROUND(Annuity-F16,2),D16)))),"")</f>
        <v>6111.64</v>
      </c>
      <c r="H16" s="41" t="n">
        <f aca="false">IF(AND(A16&lt;&gt;"",D16&gt;0.005),IF(A16&lt;=Grace,0,MIN(Extra,D16-G16)),"")</f>
        <v>0</v>
      </c>
      <c r="I16" s="41" t="n">
        <f aca="false">IF(AND(A16&lt;&gt;"",D16&gt;0.005),MIN(SUMIF(LumpN,A16,LumpAmt),D16-G16-H16),"")</f>
        <v>0</v>
      </c>
      <c r="J16" s="42" t="n">
        <f aca="false">IF(AND(A16&lt;&gt;"",D16&gt;0.005),E16+H16+I16,"")</f>
        <v>10164.28</v>
      </c>
      <c r="K16" s="42" t="n">
        <f aca="false">IF(AND(A16&lt;&gt;"",D16&gt;0.005),ROUND(D16-G16-H16-I16,2),"")</f>
        <v>214941.52</v>
      </c>
      <c r="L16" s="41" t="n">
        <f aca="false">IF(AND(A16&lt;&gt;"",D16&gt;0.005),L15+F16,"")</f>
        <v>39677.19</v>
      </c>
      <c r="M16" s="41" t="n">
        <f aca="false">IF(AND(A16&lt;&gt;"",D16&gt;0.005),M15+G16+H16+I16,"")</f>
        <v>35058.48</v>
      </c>
      <c r="N16" s="43" t="n">
        <f aca="false">IF(B16="","",YEAR(B16))</f>
        <v>2027</v>
      </c>
      <c r="O16" s="44" t="n">
        <f aca="false">IF(AND(A16&lt;&gt;"",D16&gt;0.005),J16,0)</f>
        <v>10164.28</v>
      </c>
      <c r="P16" s="44" t="n">
        <f aca="false">R15</f>
        <v>221053.16</v>
      </c>
      <c r="Q16" s="44" t="n">
        <f aca="false">IF(AND(P16&gt;0.005,9&lt;=NPer),ROUND(P16*RP,2),0)</f>
        <v>4052.64</v>
      </c>
      <c r="R16" s="44" t="n">
        <f aca="false">IF(AND(P16&gt;0.005,9&lt;=NPer),ROUND(P16-IF(9&lt;=Grace,0,IF(9=NPer,P16,IF(Method="Equal principal (reducing payments)",MIN(ROUND(EqPrin,2),P16),MIN(ROUND(Annuity-Q16,2),P16)))),2),0)</f>
        <v>214941.52</v>
      </c>
    </row>
    <row r="17" customFormat="false" ht="15" hidden="false" customHeight="false" outlineLevel="0" collapsed="false">
      <c r="A17" s="38" t="n">
        <f aca="false">IF(AND(N(K16)&gt;0.005,A16&lt;NPer),A16+1,"")</f>
        <v>10</v>
      </c>
      <c r="B17" s="39" t="n">
        <f aca="false">IF(A17="","",EDATE(Disb,A17*MPP))</f>
        <v>46660</v>
      </c>
      <c r="C17" s="40" t="str">
        <f aca="false">IF(A17="","",IF(A17&lt;=Grace,"Grace","Repayment"))</f>
        <v>Repayment</v>
      </c>
      <c r="D17" s="41" t="n">
        <f aca="false">IF(A17="","",K16)</f>
        <v>214941.52</v>
      </c>
      <c r="E17" s="41" t="n">
        <f aca="false">IF(AND(A17&lt;&gt;"",D17&gt;0.005),F17+G17,"")</f>
        <v>10164.28</v>
      </c>
      <c r="F17" s="41" t="n">
        <f aca="false">IF(AND(A17&lt;&gt;"",D17&gt;0.005),ROUND(D17*RP,2),"")</f>
        <v>3940.59</v>
      </c>
      <c r="G17" s="41" t="n">
        <f aca="false">IF(AND(A17&lt;&gt;"",D17&gt;0.005),IF(A17&lt;=Grace,0,IF(A17=NPer,D17,IF(Method="Equal principal (reducing payments)",MIN(ROUND(EqPrin,2),D17),MIN(ROUND(Annuity-F17,2),D17)))),"")</f>
        <v>6223.69</v>
      </c>
      <c r="H17" s="41" t="n">
        <f aca="false">IF(AND(A17&lt;&gt;"",D17&gt;0.005),IF(A17&lt;=Grace,0,MIN(Extra,D17-G17)),"")</f>
        <v>0</v>
      </c>
      <c r="I17" s="41" t="n">
        <f aca="false">IF(AND(A17&lt;&gt;"",D17&gt;0.005),MIN(SUMIF(LumpN,A17,LumpAmt),D17-G17-H17),"")</f>
        <v>0</v>
      </c>
      <c r="J17" s="42" t="n">
        <f aca="false">IF(AND(A17&lt;&gt;"",D17&gt;0.005),E17+H17+I17,"")</f>
        <v>10164.28</v>
      </c>
      <c r="K17" s="42" t="n">
        <f aca="false">IF(AND(A17&lt;&gt;"",D17&gt;0.005),ROUND(D17-G17-H17-I17,2),"")</f>
        <v>208717.83</v>
      </c>
      <c r="L17" s="41" t="n">
        <f aca="false">IF(AND(A17&lt;&gt;"",D17&gt;0.005),L16+F17,"")</f>
        <v>43617.78</v>
      </c>
      <c r="M17" s="41" t="n">
        <f aca="false">IF(AND(A17&lt;&gt;"",D17&gt;0.005),M16+G17+H17+I17,"")</f>
        <v>41282.17</v>
      </c>
      <c r="N17" s="43" t="n">
        <f aca="false">IF(B17="","",YEAR(B17))</f>
        <v>2027</v>
      </c>
      <c r="O17" s="44" t="n">
        <f aca="false">IF(AND(A17&lt;&gt;"",D17&gt;0.005),J17,0)</f>
        <v>10164.28</v>
      </c>
      <c r="P17" s="44" t="n">
        <f aca="false">R16</f>
        <v>214941.52</v>
      </c>
      <c r="Q17" s="44" t="n">
        <f aca="false">IF(AND(P17&gt;0.005,10&lt;=NPer),ROUND(P17*RP,2),0)</f>
        <v>3940.59</v>
      </c>
      <c r="R17" s="44" t="n">
        <f aca="false">IF(AND(P17&gt;0.005,10&lt;=NPer),ROUND(P17-IF(10&lt;=Grace,0,IF(10=NPer,P17,IF(Method="Equal principal (reducing payments)",MIN(ROUND(EqPrin,2),P17),MIN(ROUND(Annuity-Q17,2),P17)))),2),0)</f>
        <v>208717.83</v>
      </c>
    </row>
    <row r="18" customFormat="false" ht="15" hidden="false" customHeight="false" outlineLevel="0" collapsed="false">
      <c r="A18" s="38" t="n">
        <f aca="false">IF(AND(N(K17)&gt;0.005,A17&lt;NPer),A17+1,"")</f>
        <v>11</v>
      </c>
      <c r="B18" s="39" t="n">
        <f aca="false">IF(A18="","",EDATE(Disb,A18*MPP))</f>
        <v>46690</v>
      </c>
      <c r="C18" s="40" t="str">
        <f aca="false">IF(A18="","",IF(A18&lt;=Grace,"Grace","Repayment"))</f>
        <v>Repayment</v>
      </c>
      <c r="D18" s="41" t="n">
        <f aca="false">IF(A18="","",K17)</f>
        <v>208717.83</v>
      </c>
      <c r="E18" s="41" t="n">
        <f aca="false">IF(AND(A18&lt;&gt;"",D18&gt;0.005),F18+G18,"")</f>
        <v>10164.28</v>
      </c>
      <c r="F18" s="41" t="n">
        <f aca="false">IF(AND(A18&lt;&gt;"",D18&gt;0.005),ROUND(D18*RP,2),"")</f>
        <v>3826.49</v>
      </c>
      <c r="G18" s="41" t="n">
        <f aca="false">IF(AND(A18&lt;&gt;"",D18&gt;0.005),IF(A18&lt;=Grace,0,IF(A18=NPer,D18,IF(Method="Equal principal (reducing payments)",MIN(ROUND(EqPrin,2),D18),MIN(ROUND(Annuity-F18,2),D18)))),"")</f>
        <v>6337.79</v>
      </c>
      <c r="H18" s="41" t="n">
        <f aca="false">IF(AND(A18&lt;&gt;"",D18&gt;0.005),IF(A18&lt;=Grace,0,MIN(Extra,D18-G18)),"")</f>
        <v>0</v>
      </c>
      <c r="I18" s="41" t="n">
        <f aca="false">IF(AND(A18&lt;&gt;"",D18&gt;0.005),MIN(SUMIF(LumpN,A18,LumpAmt),D18-G18-H18),"")</f>
        <v>0</v>
      </c>
      <c r="J18" s="42" t="n">
        <f aca="false">IF(AND(A18&lt;&gt;"",D18&gt;0.005),E18+H18+I18,"")</f>
        <v>10164.28</v>
      </c>
      <c r="K18" s="42" t="n">
        <f aca="false">IF(AND(A18&lt;&gt;"",D18&gt;0.005),ROUND(D18-G18-H18-I18,2),"")</f>
        <v>202380.04</v>
      </c>
      <c r="L18" s="41" t="n">
        <f aca="false">IF(AND(A18&lt;&gt;"",D18&gt;0.005),L17+F18,"")</f>
        <v>47444.27</v>
      </c>
      <c r="M18" s="41" t="n">
        <f aca="false">IF(AND(A18&lt;&gt;"",D18&gt;0.005),M17+G18+H18+I18,"")</f>
        <v>47619.96</v>
      </c>
      <c r="N18" s="43" t="n">
        <f aca="false">IF(B18="","",YEAR(B18))</f>
        <v>2027</v>
      </c>
      <c r="O18" s="44" t="n">
        <f aca="false">IF(AND(A18&lt;&gt;"",D18&gt;0.005),J18,0)</f>
        <v>10164.28</v>
      </c>
      <c r="P18" s="44" t="n">
        <f aca="false">R17</f>
        <v>208717.83</v>
      </c>
      <c r="Q18" s="44" t="n">
        <f aca="false">IF(AND(P18&gt;0.005,11&lt;=NPer),ROUND(P18*RP,2),0)</f>
        <v>3826.49</v>
      </c>
      <c r="R18" s="44" t="n">
        <f aca="false">IF(AND(P18&gt;0.005,11&lt;=NPer),ROUND(P18-IF(11&lt;=Grace,0,IF(11=NPer,P18,IF(Method="Equal principal (reducing payments)",MIN(ROUND(EqPrin,2),P18),MIN(ROUND(Annuity-Q18,2),P18)))),2),0)</f>
        <v>202380.04</v>
      </c>
    </row>
    <row r="19" customFormat="false" ht="15" hidden="false" customHeight="false" outlineLevel="0" collapsed="false">
      <c r="A19" s="38" t="n">
        <f aca="false">IF(AND(N(K18)&gt;0.005,A18&lt;NPer),A18+1,"")</f>
        <v>12</v>
      </c>
      <c r="B19" s="39" t="n">
        <f aca="false">IF(A19="","",EDATE(Disb,A19*MPP))</f>
        <v>46721</v>
      </c>
      <c r="C19" s="40" t="str">
        <f aca="false">IF(A19="","",IF(A19&lt;=Grace,"Grace","Repayment"))</f>
        <v>Repayment</v>
      </c>
      <c r="D19" s="41" t="n">
        <f aca="false">IF(A19="","",K18)</f>
        <v>202380.04</v>
      </c>
      <c r="E19" s="41" t="n">
        <f aca="false">IF(AND(A19&lt;&gt;"",D19&gt;0.005),F19+G19,"")</f>
        <v>10164.28</v>
      </c>
      <c r="F19" s="41" t="n">
        <f aca="false">IF(AND(A19&lt;&gt;"",D19&gt;0.005),ROUND(D19*RP,2),"")</f>
        <v>3710.3</v>
      </c>
      <c r="G19" s="41" t="n">
        <f aca="false">IF(AND(A19&lt;&gt;"",D19&gt;0.005),IF(A19&lt;=Grace,0,IF(A19=NPer,D19,IF(Method="Equal principal (reducing payments)",MIN(ROUND(EqPrin,2),D19),MIN(ROUND(Annuity-F19,2),D19)))),"")</f>
        <v>6453.98</v>
      </c>
      <c r="H19" s="41" t="n">
        <f aca="false">IF(AND(A19&lt;&gt;"",D19&gt;0.005),IF(A19&lt;=Grace,0,MIN(Extra,D19-G19)),"")</f>
        <v>0</v>
      </c>
      <c r="I19" s="41" t="n">
        <f aca="false">IF(AND(A19&lt;&gt;"",D19&gt;0.005),MIN(SUMIF(LumpN,A19,LumpAmt),D19-G19-H19),"")</f>
        <v>0</v>
      </c>
      <c r="J19" s="42" t="n">
        <f aca="false">IF(AND(A19&lt;&gt;"",D19&gt;0.005),E19+H19+I19,"")</f>
        <v>10164.28</v>
      </c>
      <c r="K19" s="42" t="n">
        <f aca="false">IF(AND(A19&lt;&gt;"",D19&gt;0.005),ROUND(D19-G19-H19-I19,2),"")</f>
        <v>195926.06</v>
      </c>
      <c r="L19" s="41" t="n">
        <f aca="false">IF(AND(A19&lt;&gt;"",D19&gt;0.005),L18+F19,"")</f>
        <v>51154.57</v>
      </c>
      <c r="M19" s="41" t="n">
        <f aca="false">IF(AND(A19&lt;&gt;"",D19&gt;0.005),M18+G19+H19+I19,"")</f>
        <v>54073.94</v>
      </c>
      <c r="N19" s="43" t="n">
        <f aca="false">IF(B19="","",YEAR(B19))</f>
        <v>2027</v>
      </c>
      <c r="O19" s="44" t="n">
        <f aca="false">IF(AND(A19&lt;&gt;"",D19&gt;0.005),J19,0)</f>
        <v>10164.28</v>
      </c>
      <c r="P19" s="44" t="n">
        <f aca="false">R18</f>
        <v>202380.04</v>
      </c>
      <c r="Q19" s="44" t="n">
        <f aca="false">IF(AND(P19&gt;0.005,12&lt;=NPer),ROUND(P19*RP,2),0)</f>
        <v>3710.3</v>
      </c>
      <c r="R19" s="44" t="n">
        <f aca="false">IF(AND(P19&gt;0.005,12&lt;=NPer),ROUND(P19-IF(12&lt;=Grace,0,IF(12=NPer,P19,IF(Method="Equal principal (reducing payments)",MIN(ROUND(EqPrin,2),P19),MIN(ROUND(Annuity-Q19,2),P19)))),2),0)</f>
        <v>195926.06</v>
      </c>
    </row>
    <row r="20" customFormat="false" ht="15" hidden="false" customHeight="false" outlineLevel="0" collapsed="false">
      <c r="A20" s="38" t="n">
        <f aca="false">IF(AND(N(K19)&gt;0.005,A19&lt;NPer),A19+1,"")</f>
        <v>13</v>
      </c>
      <c r="B20" s="39" t="n">
        <f aca="false">IF(A20="","",EDATE(Disb,A20*MPP))</f>
        <v>46751</v>
      </c>
      <c r="C20" s="40" t="str">
        <f aca="false">IF(A20="","",IF(A20&lt;=Grace,"Grace","Repayment"))</f>
        <v>Repayment</v>
      </c>
      <c r="D20" s="41" t="n">
        <f aca="false">IF(A20="","",K19)</f>
        <v>195926.06</v>
      </c>
      <c r="E20" s="41" t="n">
        <f aca="false">IF(AND(A20&lt;&gt;"",D20&gt;0.005),F20+G20,"")</f>
        <v>10164.28</v>
      </c>
      <c r="F20" s="41" t="n">
        <f aca="false">IF(AND(A20&lt;&gt;"",D20&gt;0.005),ROUND(D20*RP,2),"")</f>
        <v>3591.98</v>
      </c>
      <c r="G20" s="41" t="n">
        <f aca="false">IF(AND(A20&lt;&gt;"",D20&gt;0.005),IF(A20&lt;=Grace,0,IF(A20=NPer,D20,IF(Method="Equal principal (reducing payments)",MIN(ROUND(EqPrin,2),D20),MIN(ROUND(Annuity-F20,2),D20)))),"")</f>
        <v>6572.3</v>
      </c>
      <c r="H20" s="41" t="n">
        <f aca="false">IF(AND(A20&lt;&gt;"",D20&gt;0.005),IF(A20&lt;=Grace,0,MIN(Extra,D20-G20)),"")</f>
        <v>0</v>
      </c>
      <c r="I20" s="41" t="n">
        <f aca="false">IF(AND(A20&lt;&gt;"",D20&gt;0.005),MIN(SUMIF(LumpN,A20,LumpAmt),D20-G20-H20),"")</f>
        <v>0</v>
      </c>
      <c r="J20" s="42" t="n">
        <f aca="false">IF(AND(A20&lt;&gt;"",D20&gt;0.005),E20+H20+I20,"")</f>
        <v>10164.28</v>
      </c>
      <c r="K20" s="42" t="n">
        <f aca="false">IF(AND(A20&lt;&gt;"",D20&gt;0.005),ROUND(D20-G20-H20-I20,2),"")</f>
        <v>189353.76</v>
      </c>
      <c r="L20" s="41" t="n">
        <f aca="false">IF(AND(A20&lt;&gt;"",D20&gt;0.005),L19+F20,"")</f>
        <v>54746.55</v>
      </c>
      <c r="M20" s="41" t="n">
        <f aca="false">IF(AND(A20&lt;&gt;"",D20&gt;0.005),M19+G20+H20+I20,"")</f>
        <v>60646.24</v>
      </c>
      <c r="N20" s="43" t="n">
        <f aca="false">IF(B20="","",YEAR(B20))</f>
        <v>2027</v>
      </c>
      <c r="O20" s="44" t="n">
        <f aca="false">IF(AND(A20&lt;&gt;"",D20&gt;0.005),J20,0)</f>
        <v>10164.28</v>
      </c>
      <c r="P20" s="44" t="n">
        <f aca="false">R19</f>
        <v>195926.06</v>
      </c>
      <c r="Q20" s="44" t="n">
        <f aca="false">IF(AND(P20&gt;0.005,13&lt;=NPer),ROUND(P20*RP,2),0)</f>
        <v>3591.98</v>
      </c>
      <c r="R20" s="44" t="n">
        <f aca="false">IF(AND(P20&gt;0.005,13&lt;=NPer),ROUND(P20-IF(13&lt;=Grace,0,IF(13=NPer,P20,IF(Method="Equal principal (reducing payments)",MIN(ROUND(EqPrin,2),P20),MIN(ROUND(Annuity-Q20,2),P20)))),2),0)</f>
        <v>189353.76</v>
      </c>
    </row>
    <row r="21" customFormat="false" ht="15" hidden="false" customHeight="false" outlineLevel="0" collapsed="false">
      <c r="A21" s="38" t="n">
        <f aca="false">IF(AND(N(K20)&gt;0.005,A20&lt;NPer),A20+1,"")</f>
        <v>14</v>
      </c>
      <c r="B21" s="39" t="n">
        <f aca="false">IF(A21="","",EDATE(Disb,A21*MPP))</f>
        <v>46782</v>
      </c>
      <c r="C21" s="40" t="str">
        <f aca="false">IF(A21="","",IF(A21&lt;=Grace,"Grace","Repayment"))</f>
        <v>Repayment</v>
      </c>
      <c r="D21" s="41" t="n">
        <f aca="false">IF(A21="","",K20)</f>
        <v>189353.76</v>
      </c>
      <c r="E21" s="41" t="n">
        <f aca="false">IF(AND(A21&lt;&gt;"",D21&gt;0.005),F21+G21,"")</f>
        <v>10164.28</v>
      </c>
      <c r="F21" s="41" t="n">
        <f aca="false">IF(AND(A21&lt;&gt;"",D21&gt;0.005),ROUND(D21*RP,2),"")</f>
        <v>3471.49</v>
      </c>
      <c r="G21" s="41" t="n">
        <f aca="false">IF(AND(A21&lt;&gt;"",D21&gt;0.005),IF(A21&lt;=Grace,0,IF(A21=NPer,D21,IF(Method="Equal principal (reducing payments)",MIN(ROUND(EqPrin,2),D21),MIN(ROUND(Annuity-F21,2),D21)))),"")</f>
        <v>6692.79</v>
      </c>
      <c r="H21" s="41" t="n">
        <f aca="false">IF(AND(A21&lt;&gt;"",D21&gt;0.005),IF(A21&lt;=Grace,0,MIN(Extra,D21-G21)),"")</f>
        <v>0</v>
      </c>
      <c r="I21" s="41" t="n">
        <f aca="false">IF(AND(A21&lt;&gt;"",D21&gt;0.005),MIN(SUMIF(LumpN,A21,LumpAmt),D21-G21-H21),"")</f>
        <v>0</v>
      </c>
      <c r="J21" s="42" t="n">
        <f aca="false">IF(AND(A21&lt;&gt;"",D21&gt;0.005),E21+H21+I21,"")</f>
        <v>10164.28</v>
      </c>
      <c r="K21" s="42" t="n">
        <f aca="false">IF(AND(A21&lt;&gt;"",D21&gt;0.005),ROUND(D21-G21-H21-I21,2),"")</f>
        <v>182660.97</v>
      </c>
      <c r="L21" s="41" t="n">
        <f aca="false">IF(AND(A21&lt;&gt;"",D21&gt;0.005),L20+F21,"")</f>
        <v>58218.04</v>
      </c>
      <c r="M21" s="41" t="n">
        <f aca="false">IF(AND(A21&lt;&gt;"",D21&gt;0.005),M20+G21+H21+I21,"")</f>
        <v>67339.03</v>
      </c>
      <c r="N21" s="43" t="n">
        <f aca="false">IF(B21="","",YEAR(B21))</f>
        <v>2028</v>
      </c>
      <c r="O21" s="44" t="n">
        <f aca="false">IF(AND(A21&lt;&gt;"",D21&gt;0.005),J21,0)</f>
        <v>10164.28</v>
      </c>
      <c r="P21" s="44" t="n">
        <f aca="false">R20</f>
        <v>189353.76</v>
      </c>
      <c r="Q21" s="44" t="n">
        <f aca="false">IF(AND(P21&gt;0.005,14&lt;=NPer),ROUND(P21*RP,2),0)</f>
        <v>3471.49</v>
      </c>
      <c r="R21" s="44" t="n">
        <f aca="false">IF(AND(P21&gt;0.005,14&lt;=NPer),ROUND(P21-IF(14&lt;=Grace,0,IF(14=NPer,P21,IF(Method="Equal principal (reducing payments)",MIN(ROUND(EqPrin,2),P21),MIN(ROUND(Annuity-Q21,2),P21)))),2),0)</f>
        <v>182660.97</v>
      </c>
    </row>
    <row r="22" customFormat="false" ht="15" hidden="false" customHeight="false" outlineLevel="0" collapsed="false">
      <c r="A22" s="38" t="n">
        <f aca="false">IF(AND(N(K21)&gt;0.005,A21&lt;NPer),A21+1,"")</f>
        <v>15</v>
      </c>
      <c r="B22" s="39" t="n">
        <f aca="false">IF(A22="","",EDATE(Disb,A22*MPP))</f>
        <v>46812</v>
      </c>
      <c r="C22" s="40" t="str">
        <f aca="false">IF(A22="","",IF(A22&lt;=Grace,"Grace","Repayment"))</f>
        <v>Repayment</v>
      </c>
      <c r="D22" s="41" t="n">
        <f aca="false">IF(A22="","",K21)</f>
        <v>182660.97</v>
      </c>
      <c r="E22" s="41" t="n">
        <f aca="false">IF(AND(A22&lt;&gt;"",D22&gt;0.005),F22+G22,"")</f>
        <v>10164.28</v>
      </c>
      <c r="F22" s="41" t="n">
        <f aca="false">IF(AND(A22&lt;&gt;"",D22&gt;0.005),ROUND(D22*RP,2),"")</f>
        <v>3348.78</v>
      </c>
      <c r="G22" s="41" t="n">
        <f aca="false">IF(AND(A22&lt;&gt;"",D22&gt;0.005),IF(A22&lt;=Grace,0,IF(A22=NPer,D22,IF(Method="Equal principal (reducing payments)",MIN(ROUND(EqPrin,2),D22),MIN(ROUND(Annuity-F22,2),D22)))),"")</f>
        <v>6815.5</v>
      </c>
      <c r="H22" s="41" t="n">
        <f aca="false">IF(AND(A22&lt;&gt;"",D22&gt;0.005),IF(A22&lt;=Grace,0,MIN(Extra,D22-G22)),"")</f>
        <v>0</v>
      </c>
      <c r="I22" s="41" t="n">
        <f aca="false">IF(AND(A22&lt;&gt;"",D22&gt;0.005),MIN(SUMIF(LumpN,A22,LumpAmt),D22-G22-H22),"")</f>
        <v>0</v>
      </c>
      <c r="J22" s="42" t="n">
        <f aca="false">IF(AND(A22&lt;&gt;"",D22&gt;0.005),E22+H22+I22,"")</f>
        <v>10164.28</v>
      </c>
      <c r="K22" s="42" t="n">
        <f aca="false">IF(AND(A22&lt;&gt;"",D22&gt;0.005),ROUND(D22-G22-H22-I22,2),"")</f>
        <v>175845.47</v>
      </c>
      <c r="L22" s="41" t="n">
        <f aca="false">IF(AND(A22&lt;&gt;"",D22&gt;0.005),L21+F22,"")</f>
        <v>61566.82</v>
      </c>
      <c r="M22" s="41" t="n">
        <f aca="false">IF(AND(A22&lt;&gt;"",D22&gt;0.005),M21+G22+H22+I22,"")</f>
        <v>74154.53</v>
      </c>
      <c r="N22" s="43" t="n">
        <f aca="false">IF(B22="","",YEAR(B22))</f>
        <v>2028</v>
      </c>
      <c r="O22" s="44" t="n">
        <f aca="false">IF(AND(A22&lt;&gt;"",D22&gt;0.005),J22,0)</f>
        <v>10164.28</v>
      </c>
      <c r="P22" s="44" t="n">
        <f aca="false">R21</f>
        <v>182660.97</v>
      </c>
      <c r="Q22" s="44" t="n">
        <f aca="false">IF(AND(P22&gt;0.005,15&lt;=NPer),ROUND(P22*RP,2),0)</f>
        <v>3348.78</v>
      </c>
      <c r="R22" s="44" t="n">
        <f aca="false">IF(AND(P22&gt;0.005,15&lt;=NPer),ROUND(P22-IF(15&lt;=Grace,0,IF(15=NPer,P22,IF(Method="Equal principal (reducing payments)",MIN(ROUND(EqPrin,2),P22),MIN(ROUND(Annuity-Q22,2),P22)))),2),0)</f>
        <v>175845.47</v>
      </c>
    </row>
    <row r="23" customFormat="false" ht="15" hidden="false" customHeight="false" outlineLevel="0" collapsed="false">
      <c r="A23" s="38" t="n">
        <f aca="false">IF(AND(N(K22)&gt;0.005,A22&lt;NPer),A22+1,"")</f>
        <v>16</v>
      </c>
      <c r="B23" s="39" t="n">
        <f aca="false">IF(A23="","",EDATE(Disb,A23*MPP))</f>
        <v>46842</v>
      </c>
      <c r="C23" s="40" t="str">
        <f aca="false">IF(A23="","",IF(A23&lt;=Grace,"Grace","Repayment"))</f>
        <v>Repayment</v>
      </c>
      <c r="D23" s="41" t="n">
        <f aca="false">IF(A23="","",K22)</f>
        <v>175845.47</v>
      </c>
      <c r="E23" s="41" t="n">
        <f aca="false">IF(AND(A23&lt;&gt;"",D23&gt;0.005),F23+G23,"")</f>
        <v>10164.28</v>
      </c>
      <c r="F23" s="41" t="n">
        <f aca="false">IF(AND(A23&lt;&gt;"",D23&gt;0.005),ROUND(D23*RP,2),"")</f>
        <v>3223.83</v>
      </c>
      <c r="G23" s="41" t="n">
        <f aca="false">IF(AND(A23&lt;&gt;"",D23&gt;0.005),IF(A23&lt;=Grace,0,IF(A23=NPer,D23,IF(Method="Equal principal (reducing payments)",MIN(ROUND(EqPrin,2),D23),MIN(ROUND(Annuity-F23,2),D23)))),"")</f>
        <v>6940.45</v>
      </c>
      <c r="H23" s="41" t="n">
        <f aca="false">IF(AND(A23&lt;&gt;"",D23&gt;0.005),IF(A23&lt;=Grace,0,MIN(Extra,D23-G23)),"")</f>
        <v>0</v>
      </c>
      <c r="I23" s="41" t="n">
        <f aca="false">IF(AND(A23&lt;&gt;"",D23&gt;0.005),MIN(SUMIF(LumpN,A23,LumpAmt),D23-G23-H23),"")</f>
        <v>0</v>
      </c>
      <c r="J23" s="42" t="n">
        <f aca="false">IF(AND(A23&lt;&gt;"",D23&gt;0.005),E23+H23+I23,"")</f>
        <v>10164.28</v>
      </c>
      <c r="K23" s="42" t="n">
        <f aca="false">IF(AND(A23&lt;&gt;"",D23&gt;0.005),ROUND(D23-G23-H23-I23,2),"")</f>
        <v>168905.02</v>
      </c>
      <c r="L23" s="41" t="n">
        <f aca="false">IF(AND(A23&lt;&gt;"",D23&gt;0.005),L22+F23,"")</f>
        <v>64790.65</v>
      </c>
      <c r="M23" s="41" t="n">
        <f aca="false">IF(AND(A23&lt;&gt;"",D23&gt;0.005),M22+G23+H23+I23,"")</f>
        <v>81094.98</v>
      </c>
      <c r="N23" s="43" t="n">
        <f aca="false">IF(B23="","",YEAR(B23))</f>
        <v>2028</v>
      </c>
      <c r="O23" s="44" t="n">
        <f aca="false">IF(AND(A23&lt;&gt;"",D23&gt;0.005),J23,0)</f>
        <v>10164.28</v>
      </c>
      <c r="P23" s="44" t="n">
        <f aca="false">R22</f>
        <v>175845.47</v>
      </c>
      <c r="Q23" s="44" t="n">
        <f aca="false">IF(AND(P23&gt;0.005,16&lt;=NPer),ROUND(P23*RP,2),0)</f>
        <v>3223.83</v>
      </c>
      <c r="R23" s="44" t="n">
        <f aca="false">IF(AND(P23&gt;0.005,16&lt;=NPer),ROUND(P23-IF(16&lt;=Grace,0,IF(16=NPer,P23,IF(Method="Equal principal (reducing payments)",MIN(ROUND(EqPrin,2),P23),MIN(ROUND(Annuity-Q23,2),P23)))),2),0)</f>
        <v>168905.02</v>
      </c>
    </row>
    <row r="24" customFormat="false" ht="15" hidden="false" customHeight="false" outlineLevel="0" collapsed="false">
      <c r="A24" s="38" t="n">
        <f aca="false">IF(AND(N(K23)&gt;0.005,A23&lt;NPer),A23+1,"")</f>
        <v>17</v>
      </c>
      <c r="B24" s="39" t="n">
        <f aca="false">IF(A24="","",EDATE(Disb,A24*MPP))</f>
        <v>46873</v>
      </c>
      <c r="C24" s="40" t="str">
        <f aca="false">IF(A24="","",IF(A24&lt;=Grace,"Grace","Repayment"))</f>
        <v>Repayment</v>
      </c>
      <c r="D24" s="41" t="n">
        <f aca="false">IF(A24="","",K23)</f>
        <v>168905.02</v>
      </c>
      <c r="E24" s="41" t="n">
        <f aca="false">IF(AND(A24&lt;&gt;"",D24&gt;0.005),F24+G24,"")</f>
        <v>10164.28</v>
      </c>
      <c r="F24" s="41" t="n">
        <f aca="false">IF(AND(A24&lt;&gt;"",D24&gt;0.005),ROUND(D24*RP,2),"")</f>
        <v>3096.59</v>
      </c>
      <c r="G24" s="41" t="n">
        <f aca="false">IF(AND(A24&lt;&gt;"",D24&gt;0.005),IF(A24&lt;=Grace,0,IF(A24=NPer,D24,IF(Method="Equal principal (reducing payments)",MIN(ROUND(EqPrin,2),D24),MIN(ROUND(Annuity-F24,2),D24)))),"")</f>
        <v>7067.69</v>
      </c>
      <c r="H24" s="41" t="n">
        <f aca="false">IF(AND(A24&lt;&gt;"",D24&gt;0.005),IF(A24&lt;=Grace,0,MIN(Extra,D24-G24)),"")</f>
        <v>0</v>
      </c>
      <c r="I24" s="41" t="n">
        <f aca="false">IF(AND(A24&lt;&gt;"",D24&gt;0.005),MIN(SUMIF(LumpN,A24,LumpAmt),D24-G24-H24),"")</f>
        <v>0</v>
      </c>
      <c r="J24" s="42" t="n">
        <f aca="false">IF(AND(A24&lt;&gt;"",D24&gt;0.005),E24+H24+I24,"")</f>
        <v>10164.28</v>
      </c>
      <c r="K24" s="42" t="n">
        <f aca="false">IF(AND(A24&lt;&gt;"",D24&gt;0.005),ROUND(D24-G24-H24-I24,2),"")</f>
        <v>161837.33</v>
      </c>
      <c r="L24" s="41" t="n">
        <f aca="false">IF(AND(A24&lt;&gt;"",D24&gt;0.005),L23+F24,"")</f>
        <v>67887.24</v>
      </c>
      <c r="M24" s="41" t="n">
        <f aca="false">IF(AND(A24&lt;&gt;"",D24&gt;0.005),M23+G24+H24+I24,"")</f>
        <v>88162.67</v>
      </c>
      <c r="N24" s="43" t="n">
        <f aca="false">IF(B24="","",YEAR(B24))</f>
        <v>2028</v>
      </c>
      <c r="O24" s="44" t="n">
        <f aca="false">IF(AND(A24&lt;&gt;"",D24&gt;0.005),J24,0)</f>
        <v>10164.28</v>
      </c>
      <c r="P24" s="44" t="n">
        <f aca="false">R23</f>
        <v>168905.02</v>
      </c>
      <c r="Q24" s="44" t="n">
        <f aca="false">IF(AND(P24&gt;0.005,17&lt;=NPer),ROUND(P24*RP,2),0)</f>
        <v>3096.59</v>
      </c>
      <c r="R24" s="44" t="n">
        <f aca="false">IF(AND(P24&gt;0.005,17&lt;=NPer),ROUND(P24-IF(17&lt;=Grace,0,IF(17=NPer,P24,IF(Method="Equal principal (reducing payments)",MIN(ROUND(EqPrin,2),P24),MIN(ROUND(Annuity-Q24,2),P24)))),2),0)</f>
        <v>161837.33</v>
      </c>
    </row>
    <row r="25" customFormat="false" ht="15" hidden="false" customHeight="false" outlineLevel="0" collapsed="false">
      <c r="A25" s="38" t="n">
        <f aca="false">IF(AND(N(K24)&gt;0.005,A24&lt;NPer),A24+1,"")</f>
        <v>18</v>
      </c>
      <c r="B25" s="39" t="n">
        <f aca="false">IF(A25="","",EDATE(Disb,A25*MPP))</f>
        <v>46903</v>
      </c>
      <c r="C25" s="40" t="str">
        <f aca="false">IF(A25="","",IF(A25&lt;=Grace,"Grace","Repayment"))</f>
        <v>Repayment</v>
      </c>
      <c r="D25" s="41" t="n">
        <f aca="false">IF(A25="","",K24)</f>
        <v>161837.33</v>
      </c>
      <c r="E25" s="41" t="n">
        <f aca="false">IF(AND(A25&lt;&gt;"",D25&gt;0.005),F25+G25,"")</f>
        <v>10164.28</v>
      </c>
      <c r="F25" s="41" t="n">
        <f aca="false">IF(AND(A25&lt;&gt;"",D25&gt;0.005),ROUND(D25*RP,2),"")</f>
        <v>2967.02</v>
      </c>
      <c r="G25" s="41" t="n">
        <f aca="false">IF(AND(A25&lt;&gt;"",D25&gt;0.005),IF(A25&lt;=Grace,0,IF(A25=NPer,D25,IF(Method="Equal principal (reducing payments)",MIN(ROUND(EqPrin,2),D25),MIN(ROUND(Annuity-F25,2),D25)))),"")</f>
        <v>7197.26</v>
      </c>
      <c r="H25" s="41" t="n">
        <f aca="false">IF(AND(A25&lt;&gt;"",D25&gt;0.005),IF(A25&lt;=Grace,0,MIN(Extra,D25-G25)),"")</f>
        <v>0</v>
      </c>
      <c r="I25" s="41" t="n">
        <f aca="false">IF(AND(A25&lt;&gt;"",D25&gt;0.005),MIN(SUMIF(LumpN,A25,LumpAmt),D25-G25-H25),"")</f>
        <v>30000</v>
      </c>
      <c r="J25" s="42" t="n">
        <f aca="false">IF(AND(A25&lt;&gt;"",D25&gt;0.005),E25+H25+I25,"")</f>
        <v>40164.28</v>
      </c>
      <c r="K25" s="42" t="n">
        <f aca="false">IF(AND(A25&lt;&gt;"",D25&gt;0.005),ROUND(D25-G25-H25-I25,2),"")</f>
        <v>124640.07</v>
      </c>
      <c r="L25" s="41" t="n">
        <f aca="false">IF(AND(A25&lt;&gt;"",D25&gt;0.005),L24+F25,"")</f>
        <v>70854.26</v>
      </c>
      <c r="M25" s="41" t="n">
        <f aca="false">IF(AND(A25&lt;&gt;"",D25&gt;0.005),M24+G25+H25+I25,"")</f>
        <v>125359.93</v>
      </c>
      <c r="N25" s="43" t="n">
        <f aca="false">IF(B25="","",YEAR(B25))</f>
        <v>2028</v>
      </c>
      <c r="O25" s="44" t="n">
        <f aca="false">IF(AND(A25&lt;&gt;"",D25&gt;0.005),J25,0)</f>
        <v>40164.28</v>
      </c>
      <c r="P25" s="44" t="n">
        <f aca="false">R24</f>
        <v>161837.33</v>
      </c>
      <c r="Q25" s="44" t="n">
        <f aca="false">IF(AND(P25&gt;0.005,18&lt;=NPer),ROUND(P25*RP,2),0)</f>
        <v>2967.02</v>
      </c>
      <c r="R25" s="44" t="n">
        <f aca="false">IF(AND(P25&gt;0.005,18&lt;=NPer),ROUND(P25-IF(18&lt;=Grace,0,IF(18=NPer,P25,IF(Method="Equal principal (reducing payments)",MIN(ROUND(EqPrin,2),P25),MIN(ROUND(Annuity-Q25,2),P25)))),2),0)</f>
        <v>154640.07</v>
      </c>
    </row>
    <row r="26" customFormat="false" ht="15" hidden="false" customHeight="false" outlineLevel="0" collapsed="false">
      <c r="A26" s="38" t="n">
        <f aca="false">IF(AND(N(K25)&gt;0.005,A25&lt;NPer),A25+1,"")</f>
        <v>19</v>
      </c>
      <c r="B26" s="39" t="n">
        <f aca="false">IF(A26="","",EDATE(Disb,A26*MPP))</f>
        <v>46934</v>
      </c>
      <c r="C26" s="40" t="str">
        <f aca="false">IF(A26="","",IF(A26&lt;=Grace,"Grace","Repayment"))</f>
        <v>Repayment</v>
      </c>
      <c r="D26" s="41" t="n">
        <f aca="false">IF(A26="","",K25)</f>
        <v>124640.07</v>
      </c>
      <c r="E26" s="41" t="n">
        <f aca="false">IF(AND(A26&lt;&gt;"",D26&gt;0.005),F26+G26,"")</f>
        <v>10164.28</v>
      </c>
      <c r="F26" s="41" t="n">
        <f aca="false">IF(AND(A26&lt;&gt;"",D26&gt;0.005),ROUND(D26*RP,2),"")</f>
        <v>2285.07</v>
      </c>
      <c r="G26" s="41" t="n">
        <f aca="false">IF(AND(A26&lt;&gt;"",D26&gt;0.005),IF(A26&lt;=Grace,0,IF(A26=NPer,D26,IF(Method="Equal principal (reducing payments)",MIN(ROUND(EqPrin,2),D26),MIN(ROUND(Annuity-F26,2),D26)))),"")</f>
        <v>7879.21</v>
      </c>
      <c r="H26" s="41" t="n">
        <f aca="false">IF(AND(A26&lt;&gt;"",D26&gt;0.005),IF(A26&lt;=Grace,0,MIN(Extra,D26-G26)),"")</f>
        <v>0</v>
      </c>
      <c r="I26" s="41" t="n">
        <f aca="false">IF(AND(A26&lt;&gt;"",D26&gt;0.005),MIN(SUMIF(LumpN,A26,LumpAmt),D26-G26-H26),"")</f>
        <v>0</v>
      </c>
      <c r="J26" s="42" t="n">
        <f aca="false">IF(AND(A26&lt;&gt;"",D26&gt;0.005),E26+H26+I26,"")</f>
        <v>10164.28</v>
      </c>
      <c r="K26" s="42" t="n">
        <f aca="false">IF(AND(A26&lt;&gt;"",D26&gt;0.005),ROUND(D26-G26-H26-I26,2),"")</f>
        <v>116760.86</v>
      </c>
      <c r="L26" s="41" t="n">
        <f aca="false">IF(AND(A26&lt;&gt;"",D26&gt;0.005),L25+F26,"")</f>
        <v>73139.33</v>
      </c>
      <c r="M26" s="41" t="n">
        <f aca="false">IF(AND(A26&lt;&gt;"",D26&gt;0.005),M25+G26+H26+I26,"")</f>
        <v>133239.14</v>
      </c>
      <c r="N26" s="43" t="n">
        <f aca="false">IF(B26="","",YEAR(B26))</f>
        <v>2028</v>
      </c>
      <c r="O26" s="44" t="n">
        <f aca="false">IF(AND(A26&lt;&gt;"",D26&gt;0.005),J26,0)</f>
        <v>10164.28</v>
      </c>
      <c r="P26" s="44" t="n">
        <f aca="false">R25</f>
        <v>154640.07</v>
      </c>
      <c r="Q26" s="44" t="n">
        <f aca="false">IF(AND(P26&gt;0.005,19&lt;=NPer),ROUND(P26*RP,2),0)</f>
        <v>2835.07</v>
      </c>
      <c r="R26" s="44" t="n">
        <f aca="false">IF(AND(P26&gt;0.005,19&lt;=NPer),ROUND(P26-IF(19&lt;=Grace,0,IF(19=NPer,P26,IF(Method="Equal principal (reducing payments)",MIN(ROUND(EqPrin,2),P26),MIN(ROUND(Annuity-Q26,2),P26)))),2),0)</f>
        <v>147310.86</v>
      </c>
    </row>
    <row r="27" customFormat="false" ht="15" hidden="false" customHeight="false" outlineLevel="0" collapsed="false">
      <c r="A27" s="38" t="n">
        <f aca="false">IF(AND(N(K26)&gt;0.005,A26&lt;NPer),A26+1,"")</f>
        <v>20</v>
      </c>
      <c r="B27" s="39" t="n">
        <f aca="false">IF(A27="","",EDATE(Disb,A27*MPP))</f>
        <v>46964</v>
      </c>
      <c r="C27" s="40" t="str">
        <f aca="false">IF(A27="","",IF(A27&lt;=Grace,"Grace","Repayment"))</f>
        <v>Repayment</v>
      </c>
      <c r="D27" s="41" t="n">
        <f aca="false">IF(A27="","",K26)</f>
        <v>116760.86</v>
      </c>
      <c r="E27" s="41" t="n">
        <f aca="false">IF(AND(A27&lt;&gt;"",D27&gt;0.005),F27+G27,"")</f>
        <v>10164.28</v>
      </c>
      <c r="F27" s="41" t="n">
        <f aca="false">IF(AND(A27&lt;&gt;"",D27&gt;0.005),ROUND(D27*RP,2),"")</f>
        <v>2140.62</v>
      </c>
      <c r="G27" s="41" t="n">
        <f aca="false">IF(AND(A27&lt;&gt;"",D27&gt;0.005),IF(A27&lt;=Grace,0,IF(A27=NPer,D27,IF(Method="Equal principal (reducing payments)",MIN(ROUND(EqPrin,2),D27),MIN(ROUND(Annuity-F27,2),D27)))),"")</f>
        <v>8023.66</v>
      </c>
      <c r="H27" s="41" t="n">
        <f aca="false">IF(AND(A27&lt;&gt;"",D27&gt;0.005),IF(A27&lt;=Grace,0,MIN(Extra,D27-G27)),"")</f>
        <v>0</v>
      </c>
      <c r="I27" s="41" t="n">
        <f aca="false">IF(AND(A27&lt;&gt;"",D27&gt;0.005),MIN(SUMIF(LumpN,A27,LumpAmt),D27-G27-H27),"")</f>
        <v>0</v>
      </c>
      <c r="J27" s="42" t="n">
        <f aca="false">IF(AND(A27&lt;&gt;"",D27&gt;0.005),E27+H27+I27,"")</f>
        <v>10164.28</v>
      </c>
      <c r="K27" s="42" t="n">
        <f aca="false">IF(AND(A27&lt;&gt;"",D27&gt;0.005),ROUND(D27-G27-H27-I27,2),"")</f>
        <v>108737.2</v>
      </c>
      <c r="L27" s="41" t="n">
        <f aca="false">IF(AND(A27&lt;&gt;"",D27&gt;0.005),L26+F27,"")</f>
        <v>75279.95</v>
      </c>
      <c r="M27" s="41" t="n">
        <f aca="false">IF(AND(A27&lt;&gt;"",D27&gt;0.005),M26+G27+H27+I27,"")</f>
        <v>141262.8</v>
      </c>
      <c r="N27" s="43" t="n">
        <f aca="false">IF(B27="","",YEAR(B27))</f>
        <v>2028</v>
      </c>
      <c r="O27" s="44" t="n">
        <f aca="false">IF(AND(A27&lt;&gt;"",D27&gt;0.005),J27,0)</f>
        <v>10164.28</v>
      </c>
      <c r="P27" s="44" t="n">
        <f aca="false">R26</f>
        <v>147310.86</v>
      </c>
      <c r="Q27" s="44" t="n">
        <f aca="false">IF(AND(P27&gt;0.005,20&lt;=NPer),ROUND(P27*RP,2),0)</f>
        <v>2700.7</v>
      </c>
      <c r="R27" s="44" t="n">
        <f aca="false">IF(AND(P27&gt;0.005,20&lt;=NPer),ROUND(P27-IF(20&lt;=Grace,0,IF(20=NPer,P27,IF(Method="Equal principal (reducing payments)",MIN(ROUND(EqPrin,2),P27),MIN(ROUND(Annuity-Q27,2),P27)))),2),0)</f>
        <v>139847.28</v>
      </c>
    </row>
    <row r="28" customFormat="false" ht="15" hidden="false" customHeight="false" outlineLevel="0" collapsed="false">
      <c r="A28" s="38" t="n">
        <f aca="false">IF(AND(N(K27)&gt;0.005,A27&lt;NPer),A27+1,"")</f>
        <v>21</v>
      </c>
      <c r="B28" s="39" t="n">
        <f aca="false">IF(A28="","",EDATE(Disb,A28*MPP))</f>
        <v>46995</v>
      </c>
      <c r="C28" s="40" t="str">
        <f aca="false">IF(A28="","",IF(A28&lt;=Grace,"Grace","Repayment"))</f>
        <v>Repayment</v>
      </c>
      <c r="D28" s="41" t="n">
        <f aca="false">IF(A28="","",K27)</f>
        <v>108737.2</v>
      </c>
      <c r="E28" s="41" t="n">
        <f aca="false">IF(AND(A28&lt;&gt;"",D28&gt;0.005),F28+G28,"")</f>
        <v>10164.28</v>
      </c>
      <c r="F28" s="41" t="n">
        <f aca="false">IF(AND(A28&lt;&gt;"",D28&gt;0.005),ROUND(D28*RP,2),"")</f>
        <v>1993.52</v>
      </c>
      <c r="G28" s="41" t="n">
        <f aca="false">IF(AND(A28&lt;&gt;"",D28&gt;0.005),IF(A28&lt;=Grace,0,IF(A28=NPer,D28,IF(Method="Equal principal (reducing payments)",MIN(ROUND(EqPrin,2),D28),MIN(ROUND(Annuity-F28,2),D28)))),"")</f>
        <v>8170.76</v>
      </c>
      <c r="H28" s="41" t="n">
        <f aca="false">IF(AND(A28&lt;&gt;"",D28&gt;0.005),IF(A28&lt;=Grace,0,MIN(Extra,D28-G28)),"")</f>
        <v>0</v>
      </c>
      <c r="I28" s="41" t="n">
        <f aca="false">IF(AND(A28&lt;&gt;"",D28&gt;0.005),MIN(SUMIF(LumpN,A28,LumpAmt),D28-G28-H28),"")</f>
        <v>0</v>
      </c>
      <c r="J28" s="42" t="n">
        <f aca="false">IF(AND(A28&lt;&gt;"",D28&gt;0.005),E28+H28+I28,"")</f>
        <v>10164.28</v>
      </c>
      <c r="K28" s="42" t="n">
        <f aca="false">IF(AND(A28&lt;&gt;"",D28&gt;0.005),ROUND(D28-G28-H28-I28,2),"")</f>
        <v>100566.44</v>
      </c>
      <c r="L28" s="41" t="n">
        <f aca="false">IF(AND(A28&lt;&gt;"",D28&gt;0.005),L27+F28,"")</f>
        <v>77273.47</v>
      </c>
      <c r="M28" s="41" t="n">
        <f aca="false">IF(AND(A28&lt;&gt;"",D28&gt;0.005),M27+G28+H28+I28,"")</f>
        <v>149433.56</v>
      </c>
      <c r="N28" s="43" t="n">
        <f aca="false">IF(B28="","",YEAR(B28))</f>
        <v>2028</v>
      </c>
      <c r="O28" s="44" t="n">
        <f aca="false">IF(AND(A28&lt;&gt;"",D28&gt;0.005),J28,0)</f>
        <v>10164.28</v>
      </c>
      <c r="P28" s="44" t="n">
        <f aca="false">R27</f>
        <v>139847.28</v>
      </c>
      <c r="Q28" s="44" t="n">
        <f aca="false">IF(AND(P28&gt;0.005,21&lt;=NPer),ROUND(P28*RP,2),0)</f>
        <v>2563.87</v>
      </c>
      <c r="R28" s="44" t="n">
        <f aca="false">IF(AND(P28&gt;0.005,21&lt;=NPer),ROUND(P28-IF(21&lt;=Grace,0,IF(21=NPer,P28,IF(Method="Equal principal (reducing payments)",MIN(ROUND(EqPrin,2),P28),MIN(ROUND(Annuity-Q28,2),P28)))),2),0)</f>
        <v>132246.87</v>
      </c>
    </row>
    <row r="29" customFormat="false" ht="15" hidden="false" customHeight="false" outlineLevel="0" collapsed="false">
      <c r="A29" s="38" t="n">
        <f aca="false">IF(AND(N(K28)&gt;0.005,A28&lt;NPer),A28+1,"")</f>
        <v>22</v>
      </c>
      <c r="B29" s="39" t="n">
        <f aca="false">IF(A29="","",EDATE(Disb,A29*MPP))</f>
        <v>47026</v>
      </c>
      <c r="C29" s="40" t="str">
        <f aca="false">IF(A29="","",IF(A29&lt;=Grace,"Grace","Repayment"))</f>
        <v>Repayment</v>
      </c>
      <c r="D29" s="41" t="n">
        <f aca="false">IF(A29="","",K28)</f>
        <v>100566.44</v>
      </c>
      <c r="E29" s="41" t="n">
        <f aca="false">IF(AND(A29&lt;&gt;"",D29&gt;0.005),F29+G29,"")</f>
        <v>10164.28</v>
      </c>
      <c r="F29" s="41" t="n">
        <f aca="false">IF(AND(A29&lt;&gt;"",D29&gt;0.005),ROUND(D29*RP,2),"")</f>
        <v>1843.72</v>
      </c>
      <c r="G29" s="41" t="n">
        <f aca="false">IF(AND(A29&lt;&gt;"",D29&gt;0.005),IF(A29&lt;=Grace,0,IF(A29=NPer,D29,IF(Method="Equal principal (reducing payments)",MIN(ROUND(EqPrin,2),D29),MIN(ROUND(Annuity-F29,2),D29)))),"")</f>
        <v>8320.56</v>
      </c>
      <c r="H29" s="41" t="n">
        <f aca="false">IF(AND(A29&lt;&gt;"",D29&gt;0.005),IF(A29&lt;=Grace,0,MIN(Extra,D29-G29)),"")</f>
        <v>0</v>
      </c>
      <c r="I29" s="41" t="n">
        <f aca="false">IF(AND(A29&lt;&gt;"",D29&gt;0.005),MIN(SUMIF(LumpN,A29,LumpAmt),D29-G29-H29),"")</f>
        <v>0</v>
      </c>
      <c r="J29" s="42" t="n">
        <f aca="false">IF(AND(A29&lt;&gt;"",D29&gt;0.005),E29+H29+I29,"")</f>
        <v>10164.28</v>
      </c>
      <c r="K29" s="42" t="n">
        <f aca="false">IF(AND(A29&lt;&gt;"",D29&gt;0.005),ROUND(D29-G29-H29-I29,2),"")</f>
        <v>92245.88</v>
      </c>
      <c r="L29" s="41" t="n">
        <f aca="false">IF(AND(A29&lt;&gt;"",D29&gt;0.005),L28+F29,"")</f>
        <v>79117.19</v>
      </c>
      <c r="M29" s="41" t="n">
        <f aca="false">IF(AND(A29&lt;&gt;"",D29&gt;0.005),M28+G29+H29+I29,"")</f>
        <v>157754.12</v>
      </c>
      <c r="N29" s="43" t="n">
        <f aca="false">IF(B29="","",YEAR(B29))</f>
        <v>2028</v>
      </c>
      <c r="O29" s="44" t="n">
        <f aca="false">IF(AND(A29&lt;&gt;"",D29&gt;0.005),J29,0)</f>
        <v>10164.28</v>
      </c>
      <c r="P29" s="44" t="n">
        <f aca="false">R28</f>
        <v>132246.87</v>
      </c>
      <c r="Q29" s="44" t="n">
        <f aca="false">IF(AND(P29&gt;0.005,22&lt;=NPer),ROUND(P29*RP,2),0)</f>
        <v>2424.53</v>
      </c>
      <c r="R29" s="44" t="n">
        <f aca="false">IF(AND(P29&gt;0.005,22&lt;=NPer),ROUND(P29-IF(22&lt;=Grace,0,IF(22=NPer,P29,IF(Method="Equal principal (reducing payments)",MIN(ROUND(EqPrin,2),P29),MIN(ROUND(Annuity-Q29,2),P29)))),2),0)</f>
        <v>124507.12</v>
      </c>
    </row>
    <row r="30" customFormat="false" ht="15" hidden="false" customHeight="false" outlineLevel="0" collapsed="false">
      <c r="A30" s="38" t="n">
        <f aca="false">IF(AND(N(K29)&gt;0.005,A29&lt;NPer),A29+1,"")</f>
        <v>23</v>
      </c>
      <c r="B30" s="39" t="n">
        <f aca="false">IF(A30="","",EDATE(Disb,A30*MPP))</f>
        <v>47056</v>
      </c>
      <c r="C30" s="40" t="str">
        <f aca="false">IF(A30="","",IF(A30&lt;=Grace,"Grace","Repayment"))</f>
        <v>Repayment</v>
      </c>
      <c r="D30" s="41" t="n">
        <f aca="false">IF(A30="","",K29)</f>
        <v>92245.88</v>
      </c>
      <c r="E30" s="41" t="n">
        <f aca="false">IF(AND(A30&lt;&gt;"",D30&gt;0.005),F30+G30,"")</f>
        <v>10164.28</v>
      </c>
      <c r="F30" s="41" t="n">
        <f aca="false">IF(AND(A30&lt;&gt;"",D30&gt;0.005),ROUND(D30*RP,2),"")</f>
        <v>1691.17</v>
      </c>
      <c r="G30" s="41" t="n">
        <f aca="false">IF(AND(A30&lt;&gt;"",D30&gt;0.005),IF(A30&lt;=Grace,0,IF(A30=NPer,D30,IF(Method="Equal principal (reducing payments)",MIN(ROUND(EqPrin,2),D30),MIN(ROUND(Annuity-F30,2),D30)))),"")</f>
        <v>8473.11</v>
      </c>
      <c r="H30" s="41" t="n">
        <f aca="false">IF(AND(A30&lt;&gt;"",D30&gt;0.005),IF(A30&lt;=Grace,0,MIN(Extra,D30-G30)),"")</f>
        <v>0</v>
      </c>
      <c r="I30" s="41" t="n">
        <f aca="false">IF(AND(A30&lt;&gt;"",D30&gt;0.005),MIN(SUMIF(LumpN,A30,LumpAmt),D30-G30-H30),"")</f>
        <v>0</v>
      </c>
      <c r="J30" s="42" t="n">
        <f aca="false">IF(AND(A30&lt;&gt;"",D30&gt;0.005),E30+H30+I30,"")</f>
        <v>10164.28</v>
      </c>
      <c r="K30" s="42" t="n">
        <f aca="false">IF(AND(A30&lt;&gt;"",D30&gt;0.005),ROUND(D30-G30-H30-I30,2),"")</f>
        <v>83772.77</v>
      </c>
      <c r="L30" s="41" t="n">
        <f aca="false">IF(AND(A30&lt;&gt;"",D30&gt;0.005),L29+F30,"")</f>
        <v>80808.36</v>
      </c>
      <c r="M30" s="41" t="n">
        <f aca="false">IF(AND(A30&lt;&gt;"",D30&gt;0.005),M29+G30+H30+I30,"")</f>
        <v>166227.23</v>
      </c>
      <c r="N30" s="43" t="n">
        <f aca="false">IF(B30="","",YEAR(B30))</f>
        <v>2028</v>
      </c>
      <c r="O30" s="44" t="n">
        <f aca="false">IF(AND(A30&lt;&gt;"",D30&gt;0.005),J30,0)</f>
        <v>10164.28</v>
      </c>
      <c r="P30" s="44" t="n">
        <f aca="false">R29</f>
        <v>124507.12</v>
      </c>
      <c r="Q30" s="44" t="n">
        <f aca="false">IF(AND(P30&gt;0.005,23&lt;=NPer),ROUND(P30*RP,2),0)</f>
        <v>2282.63</v>
      </c>
      <c r="R30" s="44" t="n">
        <f aca="false">IF(AND(P30&gt;0.005,23&lt;=NPer),ROUND(P30-IF(23&lt;=Grace,0,IF(23=NPer,P30,IF(Method="Equal principal (reducing payments)",MIN(ROUND(EqPrin,2),P30),MIN(ROUND(Annuity-Q30,2),P30)))),2),0)</f>
        <v>116625.47</v>
      </c>
    </row>
    <row r="31" customFormat="false" ht="15" hidden="false" customHeight="false" outlineLevel="0" collapsed="false">
      <c r="A31" s="38" t="n">
        <f aca="false">IF(AND(N(K30)&gt;0.005,A30&lt;NPer),A30+1,"")</f>
        <v>24</v>
      </c>
      <c r="B31" s="39" t="n">
        <f aca="false">IF(A31="","",EDATE(Disb,A31*MPP))</f>
        <v>47087</v>
      </c>
      <c r="C31" s="40" t="str">
        <f aca="false">IF(A31="","",IF(A31&lt;=Grace,"Grace","Repayment"))</f>
        <v>Repayment</v>
      </c>
      <c r="D31" s="41" t="n">
        <f aca="false">IF(A31="","",K30)</f>
        <v>83772.77</v>
      </c>
      <c r="E31" s="41" t="n">
        <f aca="false">IF(AND(A31&lt;&gt;"",D31&gt;0.005),F31+G31,"")</f>
        <v>10164.28</v>
      </c>
      <c r="F31" s="41" t="n">
        <f aca="false">IF(AND(A31&lt;&gt;"",D31&gt;0.005),ROUND(D31*RP,2),"")</f>
        <v>1535.83</v>
      </c>
      <c r="G31" s="41" t="n">
        <f aca="false">IF(AND(A31&lt;&gt;"",D31&gt;0.005),IF(A31&lt;=Grace,0,IF(A31=NPer,D31,IF(Method="Equal principal (reducing payments)",MIN(ROUND(EqPrin,2),D31),MIN(ROUND(Annuity-F31,2),D31)))),"")</f>
        <v>8628.45</v>
      </c>
      <c r="H31" s="41" t="n">
        <f aca="false">IF(AND(A31&lt;&gt;"",D31&gt;0.005),IF(A31&lt;=Grace,0,MIN(Extra,D31-G31)),"")</f>
        <v>0</v>
      </c>
      <c r="I31" s="41" t="n">
        <f aca="false">IF(AND(A31&lt;&gt;"",D31&gt;0.005),MIN(SUMIF(LumpN,A31,LumpAmt),D31-G31-H31),"")</f>
        <v>0</v>
      </c>
      <c r="J31" s="42" t="n">
        <f aca="false">IF(AND(A31&lt;&gt;"",D31&gt;0.005),E31+H31+I31,"")</f>
        <v>10164.28</v>
      </c>
      <c r="K31" s="42" t="n">
        <f aca="false">IF(AND(A31&lt;&gt;"",D31&gt;0.005),ROUND(D31-G31-H31-I31,2),"")</f>
        <v>75144.32</v>
      </c>
      <c r="L31" s="41" t="n">
        <f aca="false">IF(AND(A31&lt;&gt;"",D31&gt;0.005),L30+F31,"")</f>
        <v>82344.19</v>
      </c>
      <c r="M31" s="41" t="n">
        <f aca="false">IF(AND(A31&lt;&gt;"",D31&gt;0.005),M30+G31+H31+I31,"")</f>
        <v>174855.68</v>
      </c>
      <c r="N31" s="43" t="n">
        <f aca="false">IF(B31="","",YEAR(B31))</f>
        <v>2028</v>
      </c>
      <c r="O31" s="44" t="n">
        <f aca="false">IF(AND(A31&lt;&gt;"",D31&gt;0.005),J31,0)</f>
        <v>10164.28</v>
      </c>
      <c r="P31" s="44" t="n">
        <f aca="false">R30</f>
        <v>116625.47</v>
      </c>
      <c r="Q31" s="44" t="n">
        <f aca="false">IF(AND(P31&gt;0.005,24&lt;=NPer),ROUND(P31*RP,2),0)</f>
        <v>2138.13</v>
      </c>
      <c r="R31" s="44" t="n">
        <f aca="false">IF(AND(P31&gt;0.005,24&lt;=NPer),ROUND(P31-IF(24&lt;=Grace,0,IF(24=NPer,P31,IF(Method="Equal principal (reducing payments)",MIN(ROUND(EqPrin,2),P31),MIN(ROUND(Annuity-Q31,2),P31)))),2),0)</f>
        <v>108599.32</v>
      </c>
    </row>
    <row r="32" customFormat="false" ht="15" hidden="false" customHeight="false" outlineLevel="0" collapsed="false">
      <c r="A32" s="38" t="n">
        <f aca="false">IF(AND(N(K31)&gt;0.005,A31&lt;NPer),A31+1,"")</f>
        <v>25</v>
      </c>
      <c r="B32" s="39" t="n">
        <f aca="false">IF(A32="","",EDATE(Disb,A32*MPP))</f>
        <v>47117</v>
      </c>
      <c r="C32" s="40" t="str">
        <f aca="false">IF(A32="","",IF(A32&lt;=Grace,"Grace","Repayment"))</f>
        <v>Repayment</v>
      </c>
      <c r="D32" s="41" t="n">
        <f aca="false">IF(A32="","",K31)</f>
        <v>75144.32</v>
      </c>
      <c r="E32" s="41" t="n">
        <f aca="false">IF(AND(A32&lt;&gt;"",D32&gt;0.005),F32+G32,"")</f>
        <v>10164.28</v>
      </c>
      <c r="F32" s="41" t="n">
        <f aca="false">IF(AND(A32&lt;&gt;"",D32&gt;0.005),ROUND(D32*RP,2),"")</f>
        <v>1377.65</v>
      </c>
      <c r="G32" s="41" t="n">
        <f aca="false">IF(AND(A32&lt;&gt;"",D32&gt;0.005),IF(A32&lt;=Grace,0,IF(A32=NPer,D32,IF(Method="Equal principal (reducing payments)",MIN(ROUND(EqPrin,2),D32),MIN(ROUND(Annuity-F32,2),D32)))),"")</f>
        <v>8786.63</v>
      </c>
      <c r="H32" s="41" t="n">
        <f aca="false">IF(AND(A32&lt;&gt;"",D32&gt;0.005),IF(A32&lt;=Grace,0,MIN(Extra,D32-G32)),"")</f>
        <v>0</v>
      </c>
      <c r="I32" s="41" t="n">
        <f aca="false">IF(AND(A32&lt;&gt;"",D32&gt;0.005),MIN(SUMIF(LumpN,A32,LumpAmt),D32-G32-H32),"")</f>
        <v>0</v>
      </c>
      <c r="J32" s="42" t="n">
        <f aca="false">IF(AND(A32&lt;&gt;"",D32&gt;0.005),E32+H32+I32,"")</f>
        <v>10164.28</v>
      </c>
      <c r="K32" s="42" t="n">
        <f aca="false">IF(AND(A32&lt;&gt;"",D32&gt;0.005),ROUND(D32-G32-H32-I32,2),"")</f>
        <v>66357.69</v>
      </c>
      <c r="L32" s="41" t="n">
        <f aca="false">IF(AND(A32&lt;&gt;"",D32&gt;0.005),L31+F32,"")</f>
        <v>83721.84</v>
      </c>
      <c r="M32" s="41" t="n">
        <f aca="false">IF(AND(A32&lt;&gt;"",D32&gt;0.005),M31+G32+H32+I32,"")</f>
        <v>183642.31</v>
      </c>
      <c r="N32" s="43" t="n">
        <f aca="false">IF(B32="","",YEAR(B32))</f>
        <v>2028</v>
      </c>
      <c r="O32" s="44" t="n">
        <f aca="false">IF(AND(A32&lt;&gt;"",D32&gt;0.005),J32,0)</f>
        <v>10164.28</v>
      </c>
      <c r="P32" s="44" t="n">
        <f aca="false">R31</f>
        <v>108599.32</v>
      </c>
      <c r="Q32" s="44" t="n">
        <f aca="false">IF(AND(P32&gt;0.005,25&lt;=NPer),ROUND(P32*RP,2),0)</f>
        <v>1990.99</v>
      </c>
      <c r="R32" s="44" t="n">
        <f aca="false">IF(AND(P32&gt;0.005,25&lt;=NPer),ROUND(P32-IF(25&lt;=Grace,0,IF(25=NPer,P32,IF(Method="Equal principal (reducing payments)",MIN(ROUND(EqPrin,2),P32),MIN(ROUND(Annuity-Q32,2),P32)))),2),0)</f>
        <v>100426.03</v>
      </c>
    </row>
    <row r="33" customFormat="false" ht="15" hidden="false" customHeight="false" outlineLevel="0" collapsed="false">
      <c r="A33" s="38" t="n">
        <f aca="false">IF(AND(N(K32)&gt;0.005,A32&lt;NPer),A32+1,"")</f>
        <v>26</v>
      </c>
      <c r="B33" s="39" t="n">
        <f aca="false">IF(A33="","",EDATE(Disb,A33*MPP))</f>
        <v>47148</v>
      </c>
      <c r="C33" s="40" t="str">
        <f aca="false">IF(A33="","",IF(A33&lt;=Grace,"Grace","Repayment"))</f>
        <v>Repayment</v>
      </c>
      <c r="D33" s="41" t="n">
        <f aca="false">IF(A33="","",K32)</f>
        <v>66357.69</v>
      </c>
      <c r="E33" s="41" t="n">
        <f aca="false">IF(AND(A33&lt;&gt;"",D33&gt;0.005),F33+G33,"")</f>
        <v>10164.28</v>
      </c>
      <c r="F33" s="41" t="n">
        <f aca="false">IF(AND(A33&lt;&gt;"",D33&gt;0.005),ROUND(D33*RP,2),"")</f>
        <v>1216.56</v>
      </c>
      <c r="G33" s="41" t="n">
        <f aca="false">IF(AND(A33&lt;&gt;"",D33&gt;0.005),IF(A33&lt;=Grace,0,IF(A33=NPer,D33,IF(Method="Equal principal (reducing payments)",MIN(ROUND(EqPrin,2),D33),MIN(ROUND(Annuity-F33,2),D33)))),"")</f>
        <v>8947.72</v>
      </c>
      <c r="H33" s="41" t="n">
        <f aca="false">IF(AND(A33&lt;&gt;"",D33&gt;0.005),IF(A33&lt;=Grace,0,MIN(Extra,D33-G33)),"")</f>
        <v>0</v>
      </c>
      <c r="I33" s="41" t="n">
        <f aca="false">IF(AND(A33&lt;&gt;"",D33&gt;0.005),MIN(SUMIF(LumpN,A33,LumpAmt),D33-G33-H33),"")</f>
        <v>0</v>
      </c>
      <c r="J33" s="42" t="n">
        <f aca="false">IF(AND(A33&lt;&gt;"",D33&gt;0.005),E33+H33+I33,"")</f>
        <v>10164.28</v>
      </c>
      <c r="K33" s="42" t="n">
        <f aca="false">IF(AND(A33&lt;&gt;"",D33&gt;0.005),ROUND(D33-G33-H33-I33,2),"")</f>
        <v>57409.97</v>
      </c>
      <c r="L33" s="41" t="n">
        <f aca="false">IF(AND(A33&lt;&gt;"",D33&gt;0.005),L32+F33,"")</f>
        <v>84938.4</v>
      </c>
      <c r="M33" s="41" t="n">
        <f aca="false">IF(AND(A33&lt;&gt;"",D33&gt;0.005),M32+G33+H33+I33,"")</f>
        <v>192590.03</v>
      </c>
      <c r="N33" s="43" t="n">
        <f aca="false">IF(B33="","",YEAR(B33))</f>
        <v>2029</v>
      </c>
      <c r="O33" s="44" t="n">
        <f aca="false">IF(AND(A33&lt;&gt;"",D33&gt;0.005),J33,0)</f>
        <v>10164.28</v>
      </c>
      <c r="P33" s="44" t="n">
        <f aca="false">R32</f>
        <v>100426.03</v>
      </c>
      <c r="Q33" s="44" t="n">
        <f aca="false">IF(AND(P33&gt;0.005,26&lt;=NPer),ROUND(P33*RP,2),0)</f>
        <v>1841.14</v>
      </c>
      <c r="R33" s="44" t="n">
        <f aca="false">IF(AND(P33&gt;0.005,26&lt;=NPer),ROUND(P33-IF(26&lt;=Grace,0,IF(26=NPer,P33,IF(Method="Equal principal (reducing payments)",MIN(ROUND(EqPrin,2),P33),MIN(ROUND(Annuity-Q33,2),P33)))),2),0)</f>
        <v>92102.89</v>
      </c>
    </row>
    <row r="34" customFormat="false" ht="15" hidden="false" customHeight="false" outlineLevel="0" collapsed="false">
      <c r="A34" s="38" t="n">
        <f aca="false">IF(AND(N(K33)&gt;0.005,A33&lt;NPer),A33+1,"")</f>
        <v>27</v>
      </c>
      <c r="B34" s="39" t="n">
        <f aca="false">IF(A34="","",EDATE(Disb,A34*MPP))</f>
        <v>47177</v>
      </c>
      <c r="C34" s="40" t="str">
        <f aca="false">IF(A34="","",IF(A34&lt;=Grace,"Grace","Repayment"))</f>
        <v>Repayment</v>
      </c>
      <c r="D34" s="41" t="n">
        <f aca="false">IF(A34="","",K33)</f>
        <v>57409.97</v>
      </c>
      <c r="E34" s="41" t="n">
        <f aca="false">IF(AND(A34&lt;&gt;"",D34&gt;0.005),F34+G34,"")</f>
        <v>10164.28</v>
      </c>
      <c r="F34" s="41" t="n">
        <f aca="false">IF(AND(A34&lt;&gt;"",D34&gt;0.005),ROUND(D34*RP,2),"")</f>
        <v>1052.52</v>
      </c>
      <c r="G34" s="41" t="n">
        <f aca="false">IF(AND(A34&lt;&gt;"",D34&gt;0.005),IF(A34&lt;=Grace,0,IF(A34=NPer,D34,IF(Method="Equal principal (reducing payments)",MIN(ROUND(EqPrin,2),D34),MIN(ROUND(Annuity-F34,2),D34)))),"")</f>
        <v>9111.76</v>
      </c>
      <c r="H34" s="41" t="n">
        <f aca="false">IF(AND(A34&lt;&gt;"",D34&gt;0.005),IF(A34&lt;=Grace,0,MIN(Extra,D34-G34)),"")</f>
        <v>0</v>
      </c>
      <c r="I34" s="41" t="n">
        <f aca="false">IF(AND(A34&lt;&gt;"",D34&gt;0.005),MIN(SUMIF(LumpN,A34,LumpAmt),D34-G34-H34),"")</f>
        <v>0</v>
      </c>
      <c r="J34" s="42" t="n">
        <f aca="false">IF(AND(A34&lt;&gt;"",D34&gt;0.005),E34+H34+I34,"")</f>
        <v>10164.28</v>
      </c>
      <c r="K34" s="42" t="n">
        <f aca="false">IF(AND(A34&lt;&gt;"",D34&gt;0.005),ROUND(D34-G34-H34-I34,2),"")</f>
        <v>48298.21</v>
      </c>
      <c r="L34" s="41" t="n">
        <f aca="false">IF(AND(A34&lt;&gt;"",D34&gt;0.005),L33+F34,"")</f>
        <v>85990.92</v>
      </c>
      <c r="M34" s="41" t="n">
        <f aca="false">IF(AND(A34&lt;&gt;"",D34&gt;0.005),M33+G34+H34+I34,"")</f>
        <v>201701.79</v>
      </c>
      <c r="N34" s="43" t="n">
        <f aca="false">IF(B34="","",YEAR(B34))</f>
        <v>2029</v>
      </c>
      <c r="O34" s="44" t="n">
        <f aca="false">IF(AND(A34&lt;&gt;"",D34&gt;0.005),J34,0)</f>
        <v>10164.28</v>
      </c>
      <c r="P34" s="44" t="n">
        <f aca="false">R33</f>
        <v>92102.89</v>
      </c>
      <c r="Q34" s="44" t="n">
        <f aca="false">IF(AND(P34&gt;0.005,27&lt;=NPer),ROUND(P34*RP,2),0)</f>
        <v>1688.55</v>
      </c>
      <c r="R34" s="44" t="n">
        <f aca="false">IF(AND(P34&gt;0.005,27&lt;=NPer),ROUND(P34-IF(27&lt;=Grace,0,IF(27=NPer,P34,IF(Method="Equal principal (reducing payments)",MIN(ROUND(EqPrin,2),P34),MIN(ROUND(Annuity-Q34,2),P34)))),2),0)</f>
        <v>83627.16</v>
      </c>
    </row>
    <row r="35" customFormat="false" ht="15" hidden="false" customHeight="false" outlineLevel="0" collapsed="false">
      <c r="A35" s="38" t="n">
        <f aca="false">IF(AND(N(K34)&gt;0.005,A34&lt;NPer),A34+1,"")</f>
        <v>28</v>
      </c>
      <c r="B35" s="39" t="n">
        <f aca="false">IF(A35="","",EDATE(Disb,A35*MPP))</f>
        <v>47207</v>
      </c>
      <c r="C35" s="40" t="str">
        <f aca="false">IF(A35="","",IF(A35&lt;=Grace,"Grace","Repayment"))</f>
        <v>Repayment</v>
      </c>
      <c r="D35" s="41" t="n">
        <f aca="false">IF(A35="","",K34)</f>
        <v>48298.21</v>
      </c>
      <c r="E35" s="41" t="n">
        <f aca="false">IF(AND(A35&lt;&gt;"",D35&gt;0.005),F35+G35,"")</f>
        <v>10164.28</v>
      </c>
      <c r="F35" s="41" t="n">
        <f aca="false">IF(AND(A35&lt;&gt;"",D35&gt;0.005),ROUND(D35*RP,2),"")</f>
        <v>885.47</v>
      </c>
      <c r="G35" s="41" t="n">
        <f aca="false">IF(AND(A35&lt;&gt;"",D35&gt;0.005),IF(A35&lt;=Grace,0,IF(A35=NPer,D35,IF(Method="Equal principal (reducing payments)",MIN(ROUND(EqPrin,2),D35),MIN(ROUND(Annuity-F35,2),D35)))),"")</f>
        <v>9278.81</v>
      </c>
      <c r="H35" s="41" t="n">
        <f aca="false">IF(AND(A35&lt;&gt;"",D35&gt;0.005),IF(A35&lt;=Grace,0,MIN(Extra,D35-G35)),"")</f>
        <v>0</v>
      </c>
      <c r="I35" s="41" t="n">
        <f aca="false">IF(AND(A35&lt;&gt;"",D35&gt;0.005),MIN(SUMIF(LumpN,A35,LumpAmt),D35-G35-H35),"")</f>
        <v>0</v>
      </c>
      <c r="J35" s="42" t="n">
        <f aca="false">IF(AND(A35&lt;&gt;"",D35&gt;0.005),E35+H35+I35,"")</f>
        <v>10164.28</v>
      </c>
      <c r="K35" s="42" t="n">
        <f aca="false">IF(AND(A35&lt;&gt;"",D35&gt;0.005),ROUND(D35-G35-H35-I35,2),"")</f>
        <v>39019.4</v>
      </c>
      <c r="L35" s="41" t="n">
        <f aca="false">IF(AND(A35&lt;&gt;"",D35&gt;0.005),L34+F35,"")</f>
        <v>86876.39</v>
      </c>
      <c r="M35" s="41" t="n">
        <f aca="false">IF(AND(A35&lt;&gt;"",D35&gt;0.005),M34+G35+H35+I35,"")</f>
        <v>210980.6</v>
      </c>
      <c r="N35" s="43" t="n">
        <f aca="false">IF(B35="","",YEAR(B35))</f>
        <v>2029</v>
      </c>
      <c r="O35" s="44" t="n">
        <f aca="false">IF(AND(A35&lt;&gt;"",D35&gt;0.005),J35,0)</f>
        <v>10164.28</v>
      </c>
      <c r="P35" s="44" t="n">
        <f aca="false">R34</f>
        <v>83627.16</v>
      </c>
      <c r="Q35" s="44" t="n">
        <f aca="false">IF(AND(P35&gt;0.005,28&lt;=NPer),ROUND(P35*RP,2),0)</f>
        <v>1533.16</v>
      </c>
      <c r="R35" s="44" t="n">
        <f aca="false">IF(AND(P35&gt;0.005,28&lt;=NPer),ROUND(P35-IF(28&lt;=Grace,0,IF(28=NPer,P35,IF(Method="Equal principal (reducing payments)",MIN(ROUND(EqPrin,2),P35),MIN(ROUND(Annuity-Q35,2),P35)))),2),0)</f>
        <v>74996.04</v>
      </c>
    </row>
    <row r="36" customFormat="false" ht="15" hidden="false" customHeight="false" outlineLevel="0" collapsed="false">
      <c r="A36" s="38" t="n">
        <f aca="false">IF(AND(N(K35)&gt;0.005,A35&lt;NPer),A35+1,"")</f>
        <v>29</v>
      </c>
      <c r="B36" s="39" t="n">
        <f aca="false">IF(A36="","",EDATE(Disb,A36*MPP))</f>
        <v>47238</v>
      </c>
      <c r="C36" s="40" t="str">
        <f aca="false">IF(A36="","",IF(A36&lt;=Grace,"Grace","Repayment"))</f>
        <v>Repayment</v>
      </c>
      <c r="D36" s="41" t="n">
        <f aca="false">IF(A36="","",K35)</f>
        <v>39019.4</v>
      </c>
      <c r="E36" s="41" t="n">
        <f aca="false">IF(AND(A36&lt;&gt;"",D36&gt;0.005),F36+G36,"")</f>
        <v>10164.28</v>
      </c>
      <c r="F36" s="41" t="n">
        <f aca="false">IF(AND(A36&lt;&gt;"",D36&gt;0.005),ROUND(D36*RP,2),"")</f>
        <v>715.36</v>
      </c>
      <c r="G36" s="41" t="n">
        <f aca="false">IF(AND(A36&lt;&gt;"",D36&gt;0.005),IF(A36&lt;=Grace,0,IF(A36=NPer,D36,IF(Method="Equal principal (reducing payments)",MIN(ROUND(EqPrin,2),D36),MIN(ROUND(Annuity-F36,2),D36)))),"")</f>
        <v>9448.92</v>
      </c>
      <c r="H36" s="41" t="n">
        <f aca="false">IF(AND(A36&lt;&gt;"",D36&gt;0.005),IF(A36&lt;=Grace,0,MIN(Extra,D36-G36)),"")</f>
        <v>0</v>
      </c>
      <c r="I36" s="41" t="n">
        <f aca="false">IF(AND(A36&lt;&gt;"",D36&gt;0.005),MIN(SUMIF(LumpN,A36,LumpAmt),D36-G36-H36),"")</f>
        <v>0</v>
      </c>
      <c r="J36" s="42" t="n">
        <f aca="false">IF(AND(A36&lt;&gt;"",D36&gt;0.005),E36+H36+I36,"")</f>
        <v>10164.28</v>
      </c>
      <c r="K36" s="42" t="n">
        <f aca="false">IF(AND(A36&lt;&gt;"",D36&gt;0.005),ROUND(D36-G36-H36-I36,2),"")</f>
        <v>29570.48</v>
      </c>
      <c r="L36" s="41" t="n">
        <f aca="false">IF(AND(A36&lt;&gt;"",D36&gt;0.005),L35+F36,"")</f>
        <v>87591.75</v>
      </c>
      <c r="M36" s="41" t="n">
        <f aca="false">IF(AND(A36&lt;&gt;"",D36&gt;0.005),M35+G36+H36+I36,"")</f>
        <v>220429.52</v>
      </c>
      <c r="N36" s="43" t="n">
        <f aca="false">IF(B36="","",YEAR(B36))</f>
        <v>2029</v>
      </c>
      <c r="O36" s="44" t="n">
        <f aca="false">IF(AND(A36&lt;&gt;"",D36&gt;0.005),J36,0)</f>
        <v>10164.28</v>
      </c>
      <c r="P36" s="44" t="n">
        <f aca="false">R35</f>
        <v>74996.04</v>
      </c>
      <c r="Q36" s="44" t="n">
        <f aca="false">IF(AND(P36&gt;0.005,29&lt;=NPer),ROUND(P36*RP,2),0)</f>
        <v>1374.93</v>
      </c>
      <c r="R36" s="44" t="n">
        <f aca="false">IF(AND(P36&gt;0.005,29&lt;=NPer),ROUND(P36-IF(29&lt;=Grace,0,IF(29=NPer,P36,IF(Method="Equal principal (reducing payments)",MIN(ROUND(EqPrin,2),P36),MIN(ROUND(Annuity-Q36,2),P36)))),2),0)</f>
        <v>66206.69</v>
      </c>
    </row>
    <row r="37" customFormat="false" ht="15" hidden="false" customHeight="false" outlineLevel="0" collapsed="false">
      <c r="A37" s="38" t="n">
        <f aca="false">IF(AND(N(K36)&gt;0.005,A36&lt;NPer),A36+1,"")</f>
        <v>30</v>
      </c>
      <c r="B37" s="39" t="n">
        <f aca="false">IF(A37="","",EDATE(Disb,A37*MPP))</f>
        <v>47268</v>
      </c>
      <c r="C37" s="40" t="str">
        <f aca="false">IF(A37="","",IF(A37&lt;=Grace,"Grace","Repayment"))</f>
        <v>Repayment</v>
      </c>
      <c r="D37" s="41" t="n">
        <f aca="false">IF(A37="","",K36)</f>
        <v>29570.48</v>
      </c>
      <c r="E37" s="41" t="n">
        <f aca="false">IF(AND(A37&lt;&gt;"",D37&gt;0.005),F37+G37,"")</f>
        <v>10164.28</v>
      </c>
      <c r="F37" s="41" t="n">
        <f aca="false">IF(AND(A37&lt;&gt;"",D37&gt;0.005),ROUND(D37*RP,2),"")</f>
        <v>542.13</v>
      </c>
      <c r="G37" s="41" t="n">
        <f aca="false">IF(AND(A37&lt;&gt;"",D37&gt;0.005),IF(A37&lt;=Grace,0,IF(A37=NPer,D37,IF(Method="Equal principal (reducing payments)",MIN(ROUND(EqPrin,2),D37),MIN(ROUND(Annuity-F37,2),D37)))),"")</f>
        <v>9622.15</v>
      </c>
      <c r="H37" s="41" t="n">
        <f aca="false">IF(AND(A37&lt;&gt;"",D37&gt;0.005),IF(A37&lt;=Grace,0,MIN(Extra,D37-G37)),"")</f>
        <v>0</v>
      </c>
      <c r="I37" s="41" t="n">
        <f aca="false">IF(AND(A37&lt;&gt;"",D37&gt;0.005),MIN(SUMIF(LumpN,A37,LumpAmt),D37-G37-H37),"")</f>
        <v>0</v>
      </c>
      <c r="J37" s="42" t="n">
        <f aca="false">IF(AND(A37&lt;&gt;"",D37&gt;0.005),E37+H37+I37,"")</f>
        <v>10164.28</v>
      </c>
      <c r="K37" s="42" t="n">
        <f aca="false">IF(AND(A37&lt;&gt;"",D37&gt;0.005),ROUND(D37-G37-H37-I37,2),"")</f>
        <v>19948.33</v>
      </c>
      <c r="L37" s="41" t="n">
        <f aca="false">IF(AND(A37&lt;&gt;"",D37&gt;0.005),L36+F37,"")</f>
        <v>88133.88</v>
      </c>
      <c r="M37" s="41" t="n">
        <f aca="false">IF(AND(A37&lt;&gt;"",D37&gt;0.005),M36+G37+H37+I37,"")</f>
        <v>230051.67</v>
      </c>
      <c r="N37" s="43" t="n">
        <f aca="false">IF(B37="","",YEAR(B37))</f>
        <v>2029</v>
      </c>
      <c r="O37" s="44" t="n">
        <f aca="false">IF(AND(A37&lt;&gt;"",D37&gt;0.005),J37,0)</f>
        <v>10164.28</v>
      </c>
      <c r="P37" s="44" t="n">
        <f aca="false">R36</f>
        <v>66206.69</v>
      </c>
      <c r="Q37" s="44" t="n">
        <f aca="false">IF(AND(P37&gt;0.005,30&lt;=NPer),ROUND(P37*RP,2),0)</f>
        <v>1213.79</v>
      </c>
      <c r="R37" s="44" t="n">
        <f aca="false">IF(AND(P37&gt;0.005,30&lt;=NPer),ROUND(P37-IF(30&lt;=Grace,0,IF(30=NPer,P37,IF(Method="Equal principal (reducing payments)",MIN(ROUND(EqPrin,2),P37),MIN(ROUND(Annuity-Q37,2),P37)))),2),0)</f>
        <v>57256.2</v>
      </c>
    </row>
    <row r="38" customFormat="false" ht="15" hidden="false" customHeight="false" outlineLevel="0" collapsed="false">
      <c r="A38" s="38" t="n">
        <f aca="false">IF(AND(N(K37)&gt;0.005,A37&lt;NPer),A37+1,"")</f>
        <v>31</v>
      </c>
      <c r="B38" s="39" t="n">
        <f aca="false">IF(A38="","",EDATE(Disb,A38*MPP))</f>
        <v>47299</v>
      </c>
      <c r="C38" s="40" t="str">
        <f aca="false">IF(A38="","",IF(A38&lt;=Grace,"Grace","Repayment"))</f>
        <v>Repayment</v>
      </c>
      <c r="D38" s="41" t="n">
        <f aca="false">IF(A38="","",K37)</f>
        <v>19948.33</v>
      </c>
      <c r="E38" s="41" t="n">
        <f aca="false">IF(AND(A38&lt;&gt;"",D38&gt;0.005),F38+G38,"")</f>
        <v>10164.28</v>
      </c>
      <c r="F38" s="41" t="n">
        <f aca="false">IF(AND(A38&lt;&gt;"",D38&gt;0.005),ROUND(D38*RP,2),"")</f>
        <v>365.72</v>
      </c>
      <c r="G38" s="41" t="n">
        <f aca="false">IF(AND(A38&lt;&gt;"",D38&gt;0.005),IF(A38&lt;=Grace,0,IF(A38=NPer,D38,IF(Method="Equal principal (reducing payments)",MIN(ROUND(EqPrin,2),D38),MIN(ROUND(Annuity-F38,2),D38)))),"")</f>
        <v>9798.56</v>
      </c>
      <c r="H38" s="41" t="n">
        <f aca="false">IF(AND(A38&lt;&gt;"",D38&gt;0.005),IF(A38&lt;=Grace,0,MIN(Extra,D38-G38)),"")</f>
        <v>0</v>
      </c>
      <c r="I38" s="41" t="n">
        <f aca="false">IF(AND(A38&lt;&gt;"",D38&gt;0.005),MIN(SUMIF(LumpN,A38,LumpAmt),D38-G38-H38),"")</f>
        <v>0</v>
      </c>
      <c r="J38" s="42" t="n">
        <f aca="false">IF(AND(A38&lt;&gt;"",D38&gt;0.005),E38+H38+I38,"")</f>
        <v>10164.28</v>
      </c>
      <c r="K38" s="42" t="n">
        <f aca="false">IF(AND(A38&lt;&gt;"",D38&gt;0.005),ROUND(D38-G38-H38-I38,2),"")</f>
        <v>10149.77</v>
      </c>
      <c r="L38" s="41" t="n">
        <f aca="false">IF(AND(A38&lt;&gt;"",D38&gt;0.005),L37+F38,"")</f>
        <v>88499.6</v>
      </c>
      <c r="M38" s="41" t="n">
        <f aca="false">IF(AND(A38&lt;&gt;"",D38&gt;0.005),M37+G38+H38+I38,"")</f>
        <v>239850.23</v>
      </c>
      <c r="N38" s="43" t="n">
        <f aca="false">IF(B38="","",YEAR(B38))</f>
        <v>2029</v>
      </c>
      <c r="O38" s="44" t="n">
        <f aca="false">IF(AND(A38&lt;&gt;"",D38&gt;0.005),J38,0)</f>
        <v>10164.28</v>
      </c>
      <c r="P38" s="44" t="n">
        <f aca="false">R37</f>
        <v>57256.2</v>
      </c>
      <c r="Q38" s="44" t="n">
        <f aca="false">IF(AND(P38&gt;0.005,31&lt;=NPer),ROUND(P38*RP,2),0)</f>
        <v>1049.7</v>
      </c>
      <c r="R38" s="44" t="n">
        <f aca="false">IF(AND(P38&gt;0.005,31&lt;=NPer),ROUND(P38-IF(31&lt;=Grace,0,IF(31=NPer,P38,IF(Method="Equal principal (reducing payments)",MIN(ROUND(EqPrin,2),P38),MIN(ROUND(Annuity-Q38,2),P38)))),2),0)</f>
        <v>48141.62</v>
      </c>
    </row>
    <row r="39" customFormat="false" ht="15" hidden="false" customHeight="false" outlineLevel="0" collapsed="false">
      <c r="A39" s="38" t="n">
        <f aca="false">IF(AND(N(K38)&gt;0.005,A38&lt;NPer),A38+1,"")</f>
        <v>32</v>
      </c>
      <c r="B39" s="39" t="n">
        <f aca="false">IF(A39="","",EDATE(Disb,A39*MPP))</f>
        <v>47329</v>
      </c>
      <c r="C39" s="40" t="str">
        <f aca="false">IF(A39="","",IF(A39&lt;=Grace,"Grace","Repayment"))</f>
        <v>Repayment</v>
      </c>
      <c r="D39" s="41" t="n">
        <f aca="false">IF(A39="","",K38)</f>
        <v>10149.77</v>
      </c>
      <c r="E39" s="41" t="n">
        <f aca="false">IF(AND(A39&lt;&gt;"",D39&gt;0.005),F39+G39,"")</f>
        <v>10164.28</v>
      </c>
      <c r="F39" s="41" t="n">
        <f aca="false">IF(AND(A39&lt;&gt;"",D39&gt;0.005),ROUND(D39*RP,2),"")</f>
        <v>186.08</v>
      </c>
      <c r="G39" s="41" t="n">
        <f aca="false">IF(AND(A39&lt;&gt;"",D39&gt;0.005),IF(A39&lt;=Grace,0,IF(A39=NPer,D39,IF(Method="Equal principal (reducing payments)",MIN(ROUND(EqPrin,2),D39),MIN(ROUND(Annuity-F39,2),D39)))),"")</f>
        <v>9978.2</v>
      </c>
      <c r="H39" s="41" t="n">
        <f aca="false">IF(AND(A39&lt;&gt;"",D39&gt;0.005),IF(A39&lt;=Grace,0,MIN(Extra,D39-G39)),"")</f>
        <v>0</v>
      </c>
      <c r="I39" s="41" t="n">
        <f aca="false">IF(AND(A39&lt;&gt;"",D39&gt;0.005),MIN(SUMIF(LumpN,A39,LumpAmt),D39-G39-H39),"")</f>
        <v>0</v>
      </c>
      <c r="J39" s="42" t="n">
        <f aca="false">IF(AND(A39&lt;&gt;"",D39&gt;0.005),E39+H39+I39,"")</f>
        <v>10164.28</v>
      </c>
      <c r="K39" s="42" t="n">
        <f aca="false">IF(AND(A39&lt;&gt;"",D39&gt;0.005),ROUND(D39-G39-H39-I39,2),"")</f>
        <v>171.57</v>
      </c>
      <c r="L39" s="41" t="n">
        <f aca="false">IF(AND(A39&lt;&gt;"",D39&gt;0.005),L38+F39,"")</f>
        <v>88685.68</v>
      </c>
      <c r="M39" s="41" t="n">
        <f aca="false">IF(AND(A39&lt;&gt;"",D39&gt;0.005),M38+G39+H39+I39,"")</f>
        <v>249828.43</v>
      </c>
      <c r="N39" s="43" t="n">
        <f aca="false">IF(B39="","",YEAR(B39))</f>
        <v>2029</v>
      </c>
      <c r="O39" s="44" t="n">
        <f aca="false">IF(AND(A39&lt;&gt;"",D39&gt;0.005),J39,0)</f>
        <v>10164.28</v>
      </c>
      <c r="P39" s="44" t="n">
        <f aca="false">R38</f>
        <v>48141.62</v>
      </c>
      <c r="Q39" s="44" t="n">
        <f aca="false">IF(AND(P39&gt;0.005,32&lt;=NPer),ROUND(P39*RP,2),0)</f>
        <v>882.6</v>
      </c>
      <c r="R39" s="44" t="n">
        <f aca="false">IF(AND(P39&gt;0.005,32&lt;=NPer),ROUND(P39-IF(32&lt;=Grace,0,IF(32=NPer,P39,IF(Method="Equal principal (reducing payments)",MIN(ROUND(EqPrin,2),P39),MIN(ROUND(Annuity-Q39,2),P39)))),2),0)</f>
        <v>38859.94</v>
      </c>
    </row>
    <row r="40" customFormat="false" ht="15" hidden="false" customHeight="false" outlineLevel="0" collapsed="false">
      <c r="A40" s="38" t="n">
        <f aca="false">IF(AND(N(K39)&gt;0.005,A39&lt;NPer),A39+1,"")</f>
        <v>33</v>
      </c>
      <c r="B40" s="39" t="n">
        <f aca="false">IF(A40="","",EDATE(Disb,A40*MPP))</f>
        <v>47360</v>
      </c>
      <c r="C40" s="40" t="str">
        <f aca="false">IF(A40="","",IF(A40&lt;=Grace,"Grace","Repayment"))</f>
        <v>Repayment</v>
      </c>
      <c r="D40" s="41" t="n">
        <f aca="false">IF(A40="","",K39)</f>
        <v>171.57</v>
      </c>
      <c r="E40" s="41" t="n">
        <f aca="false">IF(AND(A40&lt;&gt;"",D40&gt;0.005),F40+G40,"")</f>
        <v>174.72</v>
      </c>
      <c r="F40" s="41" t="n">
        <f aca="false">IF(AND(A40&lt;&gt;"",D40&gt;0.005),ROUND(D40*RP,2),"")</f>
        <v>3.15</v>
      </c>
      <c r="G40" s="41" t="n">
        <f aca="false">IF(AND(A40&lt;&gt;"",D40&gt;0.005),IF(A40&lt;=Grace,0,IF(A40=NPer,D40,IF(Method="Equal principal (reducing payments)",MIN(ROUND(EqPrin,2),D40),MIN(ROUND(Annuity-F40,2),D40)))),"")</f>
        <v>171.57</v>
      </c>
      <c r="H40" s="41" t="n">
        <f aca="false">IF(AND(A40&lt;&gt;"",D40&gt;0.005),IF(A40&lt;=Grace,0,MIN(Extra,D40-G40)),"")</f>
        <v>0</v>
      </c>
      <c r="I40" s="41" t="n">
        <f aca="false">IF(AND(A40&lt;&gt;"",D40&gt;0.005),MIN(SUMIF(LumpN,A40,LumpAmt),D40-G40-H40),"")</f>
        <v>0</v>
      </c>
      <c r="J40" s="42" t="n">
        <f aca="false">IF(AND(A40&lt;&gt;"",D40&gt;0.005),E40+H40+I40,"")</f>
        <v>174.72</v>
      </c>
      <c r="K40" s="42" t="n">
        <f aca="false">IF(AND(A40&lt;&gt;"",D40&gt;0.005),ROUND(D40-G40-H40-I40,2),"")</f>
        <v>0</v>
      </c>
      <c r="L40" s="41" t="n">
        <f aca="false">IF(AND(A40&lt;&gt;"",D40&gt;0.005),L39+F40,"")</f>
        <v>88688.83</v>
      </c>
      <c r="M40" s="41" t="n">
        <f aca="false">IF(AND(A40&lt;&gt;"",D40&gt;0.005),M39+G40+H40+I40,"")</f>
        <v>250000</v>
      </c>
      <c r="N40" s="43" t="n">
        <f aca="false">IF(B40="","",YEAR(B40))</f>
        <v>2029</v>
      </c>
      <c r="O40" s="44" t="n">
        <f aca="false">IF(AND(A40&lt;&gt;"",D40&gt;0.005),J40,0)</f>
        <v>174.72</v>
      </c>
      <c r="P40" s="44" t="n">
        <f aca="false">R39</f>
        <v>38859.94</v>
      </c>
      <c r="Q40" s="44" t="n">
        <f aca="false">IF(AND(P40&gt;0.005,33&lt;=NPer),ROUND(P40*RP,2),0)</f>
        <v>712.43</v>
      </c>
      <c r="R40" s="44" t="n">
        <f aca="false">IF(AND(P40&gt;0.005,33&lt;=NPer),ROUND(P40-IF(33&lt;=Grace,0,IF(33=NPer,P40,IF(Method="Equal principal (reducing payments)",MIN(ROUND(EqPrin,2),P40),MIN(ROUND(Annuity-Q40,2),P40)))),2),0)</f>
        <v>29408.09</v>
      </c>
    </row>
    <row r="41" customFormat="false" ht="15" hidden="false" customHeight="false" outlineLevel="0" collapsed="false">
      <c r="A41" s="38" t="str">
        <f aca="false">IF(AND(N(K40)&gt;0.005,A40&lt;NPer),A40+1,"")</f>
        <v/>
      </c>
      <c r="B41" s="39" t="str">
        <f aca="false">IF(A41="","",EDATE(Disb,A41*MPP))</f>
        <v/>
      </c>
      <c r="C41" s="40" t="str">
        <f aca="false">IF(A41="","",IF(A41&lt;=Grace,"Grace","Repayment"))</f>
        <v/>
      </c>
      <c r="D41" s="41" t="str">
        <f aca="false">IF(A41="","",K40)</f>
        <v/>
      </c>
      <c r="E41" s="41" t="str">
        <f aca="false">IF(AND(A41&lt;&gt;"",D41&gt;0.005),F41+G41,"")</f>
        <v/>
      </c>
      <c r="F41" s="41" t="str">
        <f aca="false">IF(AND(A41&lt;&gt;"",D41&gt;0.005),ROUND(D41*RP,2),"")</f>
        <v/>
      </c>
      <c r="G41" s="41" t="str">
        <f aca="false">IF(AND(A41&lt;&gt;"",D41&gt;0.005),IF(A41&lt;=Grace,0,IF(A41=NPer,D41,IF(Method="Equal principal (reducing payments)",MIN(ROUND(EqPrin,2),D41),MIN(ROUND(Annuity-F41,2),D41)))),"")</f>
        <v/>
      </c>
      <c r="H41" s="41" t="str">
        <f aca="false">IF(AND(A41&lt;&gt;"",D41&gt;0.005),IF(A41&lt;=Grace,0,MIN(Extra,D41-G41)),"")</f>
        <v/>
      </c>
      <c r="I41" s="41" t="str">
        <f aca="false">IF(AND(A41&lt;&gt;"",D41&gt;0.005),MIN(SUMIF(LumpN,A41,LumpAmt),D41-G41-H41),"")</f>
        <v/>
      </c>
      <c r="J41" s="42" t="str">
        <f aca="false">IF(AND(A41&lt;&gt;"",D41&gt;0.005),E41+H41+I41,"")</f>
        <v/>
      </c>
      <c r="K41" s="42" t="str">
        <f aca="false">IF(AND(A41&lt;&gt;"",D41&gt;0.005),ROUND(D41-G41-H41-I41,2),"")</f>
        <v/>
      </c>
      <c r="L41" s="41" t="str">
        <f aca="false">IF(AND(A41&lt;&gt;"",D41&gt;0.005),L40+F41,"")</f>
        <v/>
      </c>
      <c r="M41" s="41" t="str">
        <f aca="false">IF(AND(A41&lt;&gt;"",D41&gt;0.005),M40+G41+H41+I41,"")</f>
        <v/>
      </c>
      <c r="N41" s="43" t="str">
        <f aca="false">IF(B41="","",YEAR(B41))</f>
        <v/>
      </c>
      <c r="O41" s="44" t="n">
        <f aca="false">IF(AND(A41&lt;&gt;"",D41&gt;0.005),J41,0)</f>
        <v>0</v>
      </c>
      <c r="P41" s="44" t="n">
        <f aca="false">R40</f>
        <v>29408.09</v>
      </c>
      <c r="Q41" s="44" t="n">
        <f aca="false">IF(AND(P41&gt;0.005,34&lt;=NPer),ROUND(P41*RP,2),0)</f>
        <v>539.15</v>
      </c>
      <c r="R41" s="44" t="n">
        <f aca="false">IF(AND(P41&gt;0.005,34&lt;=NPer),ROUND(P41-IF(34&lt;=Grace,0,IF(34=NPer,P41,IF(Method="Equal principal (reducing payments)",MIN(ROUND(EqPrin,2),P41),MIN(ROUND(Annuity-Q41,2),P41)))),2),0)</f>
        <v>19782.96</v>
      </c>
    </row>
    <row r="42" customFormat="false" ht="15" hidden="false" customHeight="false" outlineLevel="0" collapsed="false">
      <c r="A42" s="38" t="str">
        <f aca="false">IF(AND(N(K41)&gt;0.005,A41&lt;NPer),A41+1,"")</f>
        <v/>
      </c>
      <c r="B42" s="39" t="str">
        <f aca="false">IF(A42="","",EDATE(Disb,A42*MPP))</f>
        <v/>
      </c>
      <c r="C42" s="40" t="str">
        <f aca="false">IF(A42="","",IF(A42&lt;=Grace,"Grace","Repayment"))</f>
        <v/>
      </c>
      <c r="D42" s="41" t="str">
        <f aca="false">IF(A42="","",K41)</f>
        <v/>
      </c>
      <c r="E42" s="41" t="str">
        <f aca="false">IF(AND(A42&lt;&gt;"",D42&gt;0.005),F42+G42,"")</f>
        <v/>
      </c>
      <c r="F42" s="41" t="str">
        <f aca="false">IF(AND(A42&lt;&gt;"",D42&gt;0.005),ROUND(D42*RP,2),"")</f>
        <v/>
      </c>
      <c r="G42" s="41" t="str">
        <f aca="false">IF(AND(A42&lt;&gt;"",D42&gt;0.005),IF(A42&lt;=Grace,0,IF(A42=NPer,D42,IF(Method="Equal principal (reducing payments)",MIN(ROUND(EqPrin,2),D42),MIN(ROUND(Annuity-F42,2),D42)))),"")</f>
        <v/>
      </c>
      <c r="H42" s="41" t="str">
        <f aca="false">IF(AND(A42&lt;&gt;"",D42&gt;0.005),IF(A42&lt;=Grace,0,MIN(Extra,D42-G42)),"")</f>
        <v/>
      </c>
      <c r="I42" s="41" t="str">
        <f aca="false">IF(AND(A42&lt;&gt;"",D42&gt;0.005),MIN(SUMIF(LumpN,A42,LumpAmt),D42-G42-H42),"")</f>
        <v/>
      </c>
      <c r="J42" s="42" t="str">
        <f aca="false">IF(AND(A42&lt;&gt;"",D42&gt;0.005),E42+H42+I42,"")</f>
        <v/>
      </c>
      <c r="K42" s="42" t="str">
        <f aca="false">IF(AND(A42&lt;&gt;"",D42&gt;0.005),ROUND(D42-G42-H42-I42,2),"")</f>
        <v/>
      </c>
      <c r="L42" s="41" t="str">
        <f aca="false">IF(AND(A42&lt;&gt;"",D42&gt;0.005),L41+F42,"")</f>
        <v/>
      </c>
      <c r="M42" s="41" t="str">
        <f aca="false">IF(AND(A42&lt;&gt;"",D42&gt;0.005),M41+G42+H42+I42,"")</f>
        <v/>
      </c>
      <c r="N42" s="43" t="str">
        <f aca="false">IF(B42="","",YEAR(B42))</f>
        <v/>
      </c>
      <c r="O42" s="44" t="n">
        <f aca="false">IF(AND(A42&lt;&gt;"",D42&gt;0.005),J42,0)</f>
        <v>0</v>
      </c>
      <c r="P42" s="44" t="n">
        <f aca="false">R41</f>
        <v>19782.96</v>
      </c>
      <c r="Q42" s="44" t="n">
        <f aca="false">IF(AND(P42&gt;0.005,35&lt;=NPer),ROUND(P42*RP,2),0)</f>
        <v>362.69</v>
      </c>
      <c r="R42" s="44" t="n">
        <f aca="false">IF(AND(P42&gt;0.005,35&lt;=NPer),ROUND(P42-IF(35&lt;=Grace,0,IF(35=NPer,P42,IF(Method="Equal principal (reducing payments)",MIN(ROUND(EqPrin,2),P42),MIN(ROUND(Annuity-Q42,2),P42)))),2),0)</f>
        <v>9981.37</v>
      </c>
    </row>
    <row r="43" customFormat="false" ht="15" hidden="false" customHeight="false" outlineLevel="0" collapsed="false">
      <c r="A43" s="38" t="str">
        <f aca="false">IF(AND(N(K42)&gt;0.005,A42&lt;NPer),A42+1,"")</f>
        <v/>
      </c>
      <c r="B43" s="39" t="str">
        <f aca="false">IF(A43="","",EDATE(Disb,A43*MPP))</f>
        <v/>
      </c>
      <c r="C43" s="40" t="str">
        <f aca="false">IF(A43="","",IF(A43&lt;=Grace,"Grace","Repayment"))</f>
        <v/>
      </c>
      <c r="D43" s="41" t="str">
        <f aca="false">IF(A43="","",K42)</f>
        <v/>
      </c>
      <c r="E43" s="41" t="str">
        <f aca="false">IF(AND(A43&lt;&gt;"",D43&gt;0.005),F43+G43,"")</f>
        <v/>
      </c>
      <c r="F43" s="41" t="str">
        <f aca="false">IF(AND(A43&lt;&gt;"",D43&gt;0.005),ROUND(D43*RP,2),"")</f>
        <v/>
      </c>
      <c r="G43" s="41" t="str">
        <f aca="false">IF(AND(A43&lt;&gt;"",D43&gt;0.005),IF(A43&lt;=Grace,0,IF(A43=NPer,D43,IF(Method="Equal principal (reducing payments)",MIN(ROUND(EqPrin,2),D43),MIN(ROUND(Annuity-F43,2),D43)))),"")</f>
        <v/>
      </c>
      <c r="H43" s="41" t="str">
        <f aca="false">IF(AND(A43&lt;&gt;"",D43&gt;0.005),IF(A43&lt;=Grace,0,MIN(Extra,D43-G43)),"")</f>
        <v/>
      </c>
      <c r="I43" s="41" t="str">
        <f aca="false">IF(AND(A43&lt;&gt;"",D43&gt;0.005),MIN(SUMIF(LumpN,A43,LumpAmt),D43-G43-H43),"")</f>
        <v/>
      </c>
      <c r="J43" s="42" t="str">
        <f aca="false">IF(AND(A43&lt;&gt;"",D43&gt;0.005),E43+H43+I43,"")</f>
        <v/>
      </c>
      <c r="K43" s="42" t="str">
        <f aca="false">IF(AND(A43&lt;&gt;"",D43&gt;0.005),ROUND(D43-G43-H43-I43,2),"")</f>
        <v/>
      </c>
      <c r="L43" s="41" t="str">
        <f aca="false">IF(AND(A43&lt;&gt;"",D43&gt;0.005),L42+F43,"")</f>
        <v/>
      </c>
      <c r="M43" s="41" t="str">
        <f aca="false">IF(AND(A43&lt;&gt;"",D43&gt;0.005),M42+G43+H43+I43,"")</f>
        <v/>
      </c>
      <c r="N43" s="43" t="str">
        <f aca="false">IF(B43="","",YEAR(B43))</f>
        <v/>
      </c>
      <c r="O43" s="44" t="n">
        <f aca="false">IF(AND(A43&lt;&gt;"",D43&gt;0.005),J43,0)</f>
        <v>0</v>
      </c>
      <c r="P43" s="44" t="n">
        <f aca="false">R42</f>
        <v>9981.37</v>
      </c>
      <c r="Q43" s="44" t="n">
        <f aca="false">IF(AND(P43&gt;0.005,36&lt;=NPer),ROUND(P43*RP,2),0)</f>
        <v>182.99</v>
      </c>
      <c r="R43" s="44" t="n">
        <f aca="false">IF(AND(P43&gt;0.005,36&lt;=NPer),ROUND(P43-IF(36&lt;=Grace,0,IF(36=NPer,P43,IF(Method="Equal principal (reducing payments)",MIN(ROUND(EqPrin,2),P43),MIN(ROUND(Annuity-Q43,2),P43)))),2),0)</f>
        <v>0</v>
      </c>
    </row>
    <row r="44" customFormat="false" ht="15" hidden="false" customHeight="false" outlineLevel="0" collapsed="false">
      <c r="A44" s="38" t="str">
        <f aca="false">IF(AND(N(K43)&gt;0.005,A43&lt;NPer),A43+1,"")</f>
        <v/>
      </c>
      <c r="B44" s="39" t="str">
        <f aca="false">IF(A44="","",EDATE(Disb,A44*MPP))</f>
        <v/>
      </c>
      <c r="C44" s="40" t="str">
        <f aca="false">IF(A44="","",IF(A44&lt;=Grace,"Grace","Repayment"))</f>
        <v/>
      </c>
      <c r="D44" s="41" t="str">
        <f aca="false">IF(A44="","",K43)</f>
        <v/>
      </c>
      <c r="E44" s="41" t="str">
        <f aca="false">IF(AND(A44&lt;&gt;"",D44&gt;0.005),F44+G44,"")</f>
        <v/>
      </c>
      <c r="F44" s="41" t="str">
        <f aca="false">IF(AND(A44&lt;&gt;"",D44&gt;0.005),ROUND(D44*RP,2),"")</f>
        <v/>
      </c>
      <c r="G44" s="41" t="str">
        <f aca="false">IF(AND(A44&lt;&gt;"",D44&gt;0.005),IF(A44&lt;=Grace,0,IF(A44=NPer,D44,IF(Method="Equal principal (reducing payments)",MIN(ROUND(EqPrin,2),D44),MIN(ROUND(Annuity-F44,2),D44)))),"")</f>
        <v/>
      </c>
      <c r="H44" s="41" t="str">
        <f aca="false">IF(AND(A44&lt;&gt;"",D44&gt;0.005),IF(A44&lt;=Grace,0,MIN(Extra,D44-G44)),"")</f>
        <v/>
      </c>
      <c r="I44" s="41" t="str">
        <f aca="false">IF(AND(A44&lt;&gt;"",D44&gt;0.005),MIN(SUMIF(LumpN,A44,LumpAmt),D44-G44-H44),"")</f>
        <v/>
      </c>
      <c r="J44" s="42" t="str">
        <f aca="false">IF(AND(A44&lt;&gt;"",D44&gt;0.005),E44+H44+I44,"")</f>
        <v/>
      </c>
      <c r="K44" s="42" t="str">
        <f aca="false">IF(AND(A44&lt;&gt;"",D44&gt;0.005),ROUND(D44-G44-H44-I44,2),"")</f>
        <v/>
      </c>
      <c r="L44" s="41" t="str">
        <f aca="false">IF(AND(A44&lt;&gt;"",D44&gt;0.005),L43+F44,"")</f>
        <v/>
      </c>
      <c r="M44" s="41" t="str">
        <f aca="false">IF(AND(A44&lt;&gt;"",D44&gt;0.005),M43+G44+H44+I44,"")</f>
        <v/>
      </c>
      <c r="N44" s="43" t="str">
        <f aca="false">IF(B44="","",YEAR(B44))</f>
        <v/>
      </c>
      <c r="O44" s="44" t="n">
        <f aca="false">IF(AND(A44&lt;&gt;"",D44&gt;0.005),J44,0)</f>
        <v>0</v>
      </c>
      <c r="P44" s="44" t="n">
        <f aca="false">R43</f>
        <v>0</v>
      </c>
      <c r="Q44" s="44" t="n">
        <f aca="false">IF(AND(P44&gt;0.005,37&lt;=NPer),ROUND(P44*RP,2),0)</f>
        <v>0</v>
      </c>
      <c r="R44" s="44" t="n">
        <f aca="false">IF(AND(P44&gt;0.005,37&lt;=NPer),ROUND(P44-IF(37&lt;=Grace,0,IF(37=NPer,P44,IF(Method="Equal principal (reducing payments)",MIN(ROUND(EqPrin,2),P44),MIN(ROUND(Annuity-Q44,2),P44)))),2),0)</f>
        <v>0</v>
      </c>
    </row>
    <row r="45" customFormat="false" ht="15" hidden="false" customHeight="false" outlineLevel="0" collapsed="false">
      <c r="A45" s="38" t="str">
        <f aca="false">IF(AND(N(K44)&gt;0.005,A44&lt;NPer),A44+1,"")</f>
        <v/>
      </c>
      <c r="B45" s="39" t="str">
        <f aca="false">IF(A45="","",EDATE(Disb,A45*MPP))</f>
        <v/>
      </c>
      <c r="C45" s="40" t="str">
        <f aca="false">IF(A45="","",IF(A45&lt;=Grace,"Grace","Repayment"))</f>
        <v/>
      </c>
      <c r="D45" s="41" t="str">
        <f aca="false">IF(A45="","",K44)</f>
        <v/>
      </c>
      <c r="E45" s="41" t="str">
        <f aca="false">IF(AND(A45&lt;&gt;"",D45&gt;0.005),F45+G45,"")</f>
        <v/>
      </c>
      <c r="F45" s="41" t="str">
        <f aca="false">IF(AND(A45&lt;&gt;"",D45&gt;0.005),ROUND(D45*RP,2),"")</f>
        <v/>
      </c>
      <c r="G45" s="41" t="str">
        <f aca="false">IF(AND(A45&lt;&gt;"",D45&gt;0.005),IF(A45&lt;=Grace,0,IF(A45=NPer,D45,IF(Method="Equal principal (reducing payments)",MIN(ROUND(EqPrin,2),D45),MIN(ROUND(Annuity-F45,2),D45)))),"")</f>
        <v/>
      </c>
      <c r="H45" s="41" t="str">
        <f aca="false">IF(AND(A45&lt;&gt;"",D45&gt;0.005),IF(A45&lt;=Grace,0,MIN(Extra,D45-G45)),"")</f>
        <v/>
      </c>
      <c r="I45" s="41" t="str">
        <f aca="false">IF(AND(A45&lt;&gt;"",D45&gt;0.005),MIN(SUMIF(LumpN,A45,LumpAmt),D45-G45-H45),"")</f>
        <v/>
      </c>
      <c r="J45" s="42" t="str">
        <f aca="false">IF(AND(A45&lt;&gt;"",D45&gt;0.005),E45+H45+I45,"")</f>
        <v/>
      </c>
      <c r="K45" s="42" t="str">
        <f aca="false">IF(AND(A45&lt;&gt;"",D45&gt;0.005),ROUND(D45-G45-H45-I45,2),"")</f>
        <v/>
      </c>
      <c r="L45" s="41" t="str">
        <f aca="false">IF(AND(A45&lt;&gt;"",D45&gt;0.005),L44+F45,"")</f>
        <v/>
      </c>
      <c r="M45" s="41" t="str">
        <f aca="false">IF(AND(A45&lt;&gt;"",D45&gt;0.005),M44+G45+H45+I45,"")</f>
        <v/>
      </c>
      <c r="N45" s="43" t="str">
        <f aca="false">IF(B45="","",YEAR(B45))</f>
        <v/>
      </c>
      <c r="O45" s="44" t="n">
        <f aca="false">IF(AND(A45&lt;&gt;"",D45&gt;0.005),J45,0)</f>
        <v>0</v>
      </c>
      <c r="P45" s="44" t="n">
        <f aca="false">R44</f>
        <v>0</v>
      </c>
      <c r="Q45" s="44" t="n">
        <f aca="false">IF(AND(P45&gt;0.005,38&lt;=NPer),ROUND(P45*RP,2),0)</f>
        <v>0</v>
      </c>
      <c r="R45" s="44" t="n">
        <f aca="false">IF(AND(P45&gt;0.005,38&lt;=NPer),ROUND(P45-IF(38&lt;=Grace,0,IF(38=NPer,P45,IF(Method="Equal principal (reducing payments)",MIN(ROUND(EqPrin,2),P45),MIN(ROUND(Annuity-Q45,2),P45)))),2),0)</f>
        <v>0</v>
      </c>
    </row>
    <row r="46" customFormat="false" ht="15" hidden="false" customHeight="false" outlineLevel="0" collapsed="false">
      <c r="A46" s="38" t="str">
        <f aca="false">IF(AND(N(K45)&gt;0.005,A45&lt;NPer),A45+1,"")</f>
        <v/>
      </c>
      <c r="B46" s="39" t="str">
        <f aca="false">IF(A46="","",EDATE(Disb,A46*MPP))</f>
        <v/>
      </c>
      <c r="C46" s="40" t="str">
        <f aca="false">IF(A46="","",IF(A46&lt;=Grace,"Grace","Repayment"))</f>
        <v/>
      </c>
      <c r="D46" s="41" t="str">
        <f aca="false">IF(A46="","",K45)</f>
        <v/>
      </c>
      <c r="E46" s="41" t="str">
        <f aca="false">IF(AND(A46&lt;&gt;"",D46&gt;0.005),F46+G46,"")</f>
        <v/>
      </c>
      <c r="F46" s="41" t="str">
        <f aca="false">IF(AND(A46&lt;&gt;"",D46&gt;0.005),ROUND(D46*RP,2),"")</f>
        <v/>
      </c>
      <c r="G46" s="41" t="str">
        <f aca="false">IF(AND(A46&lt;&gt;"",D46&gt;0.005),IF(A46&lt;=Grace,0,IF(A46=NPer,D46,IF(Method="Equal principal (reducing payments)",MIN(ROUND(EqPrin,2),D46),MIN(ROUND(Annuity-F46,2),D46)))),"")</f>
        <v/>
      </c>
      <c r="H46" s="41" t="str">
        <f aca="false">IF(AND(A46&lt;&gt;"",D46&gt;0.005),IF(A46&lt;=Grace,0,MIN(Extra,D46-G46)),"")</f>
        <v/>
      </c>
      <c r="I46" s="41" t="str">
        <f aca="false">IF(AND(A46&lt;&gt;"",D46&gt;0.005),MIN(SUMIF(LumpN,A46,LumpAmt),D46-G46-H46),"")</f>
        <v/>
      </c>
      <c r="J46" s="42" t="str">
        <f aca="false">IF(AND(A46&lt;&gt;"",D46&gt;0.005),E46+H46+I46,"")</f>
        <v/>
      </c>
      <c r="K46" s="42" t="str">
        <f aca="false">IF(AND(A46&lt;&gt;"",D46&gt;0.005),ROUND(D46-G46-H46-I46,2),"")</f>
        <v/>
      </c>
      <c r="L46" s="41" t="str">
        <f aca="false">IF(AND(A46&lt;&gt;"",D46&gt;0.005),L45+F46,"")</f>
        <v/>
      </c>
      <c r="M46" s="41" t="str">
        <f aca="false">IF(AND(A46&lt;&gt;"",D46&gt;0.005),M45+G46+H46+I46,"")</f>
        <v/>
      </c>
      <c r="N46" s="43" t="str">
        <f aca="false">IF(B46="","",YEAR(B46))</f>
        <v/>
      </c>
      <c r="O46" s="44" t="n">
        <f aca="false">IF(AND(A46&lt;&gt;"",D46&gt;0.005),J46,0)</f>
        <v>0</v>
      </c>
      <c r="P46" s="44" t="n">
        <f aca="false">R45</f>
        <v>0</v>
      </c>
      <c r="Q46" s="44" t="n">
        <f aca="false">IF(AND(P46&gt;0.005,39&lt;=NPer),ROUND(P46*RP,2),0)</f>
        <v>0</v>
      </c>
      <c r="R46" s="44" t="n">
        <f aca="false">IF(AND(P46&gt;0.005,39&lt;=NPer),ROUND(P46-IF(39&lt;=Grace,0,IF(39=NPer,P46,IF(Method="Equal principal (reducing payments)",MIN(ROUND(EqPrin,2),P46),MIN(ROUND(Annuity-Q46,2),P46)))),2),0)</f>
        <v>0</v>
      </c>
    </row>
    <row r="47" customFormat="false" ht="15" hidden="false" customHeight="false" outlineLevel="0" collapsed="false">
      <c r="A47" s="38" t="str">
        <f aca="false">IF(AND(N(K46)&gt;0.005,A46&lt;NPer),A46+1,"")</f>
        <v/>
      </c>
      <c r="B47" s="39" t="str">
        <f aca="false">IF(A47="","",EDATE(Disb,A47*MPP))</f>
        <v/>
      </c>
      <c r="C47" s="40" t="str">
        <f aca="false">IF(A47="","",IF(A47&lt;=Grace,"Grace","Repayment"))</f>
        <v/>
      </c>
      <c r="D47" s="41" t="str">
        <f aca="false">IF(A47="","",K46)</f>
        <v/>
      </c>
      <c r="E47" s="41" t="str">
        <f aca="false">IF(AND(A47&lt;&gt;"",D47&gt;0.005),F47+G47,"")</f>
        <v/>
      </c>
      <c r="F47" s="41" t="str">
        <f aca="false">IF(AND(A47&lt;&gt;"",D47&gt;0.005),ROUND(D47*RP,2),"")</f>
        <v/>
      </c>
      <c r="G47" s="41" t="str">
        <f aca="false">IF(AND(A47&lt;&gt;"",D47&gt;0.005),IF(A47&lt;=Grace,0,IF(A47=NPer,D47,IF(Method="Equal principal (reducing payments)",MIN(ROUND(EqPrin,2),D47),MIN(ROUND(Annuity-F47,2),D47)))),"")</f>
        <v/>
      </c>
      <c r="H47" s="41" t="str">
        <f aca="false">IF(AND(A47&lt;&gt;"",D47&gt;0.005),IF(A47&lt;=Grace,0,MIN(Extra,D47-G47)),"")</f>
        <v/>
      </c>
      <c r="I47" s="41" t="str">
        <f aca="false">IF(AND(A47&lt;&gt;"",D47&gt;0.005),MIN(SUMIF(LumpN,A47,LumpAmt),D47-G47-H47),"")</f>
        <v/>
      </c>
      <c r="J47" s="42" t="str">
        <f aca="false">IF(AND(A47&lt;&gt;"",D47&gt;0.005),E47+H47+I47,"")</f>
        <v/>
      </c>
      <c r="K47" s="42" t="str">
        <f aca="false">IF(AND(A47&lt;&gt;"",D47&gt;0.005),ROUND(D47-G47-H47-I47,2),"")</f>
        <v/>
      </c>
      <c r="L47" s="41" t="str">
        <f aca="false">IF(AND(A47&lt;&gt;"",D47&gt;0.005),L46+F47,"")</f>
        <v/>
      </c>
      <c r="M47" s="41" t="str">
        <f aca="false">IF(AND(A47&lt;&gt;"",D47&gt;0.005),M46+G47+H47+I47,"")</f>
        <v/>
      </c>
      <c r="N47" s="43" t="str">
        <f aca="false">IF(B47="","",YEAR(B47))</f>
        <v/>
      </c>
      <c r="O47" s="44" t="n">
        <f aca="false">IF(AND(A47&lt;&gt;"",D47&gt;0.005),J47,0)</f>
        <v>0</v>
      </c>
      <c r="P47" s="44" t="n">
        <f aca="false">R46</f>
        <v>0</v>
      </c>
      <c r="Q47" s="44" t="n">
        <f aca="false">IF(AND(P47&gt;0.005,40&lt;=NPer),ROUND(P47*RP,2),0)</f>
        <v>0</v>
      </c>
      <c r="R47" s="44" t="n">
        <f aca="false">IF(AND(P47&gt;0.005,40&lt;=NPer),ROUND(P47-IF(40&lt;=Grace,0,IF(40=NPer,P47,IF(Method="Equal principal (reducing payments)",MIN(ROUND(EqPrin,2),P47),MIN(ROUND(Annuity-Q47,2),P47)))),2),0)</f>
        <v>0</v>
      </c>
    </row>
    <row r="48" customFormat="false" ht="15" hidden="false" customHeight="false" outlineLevel="0" collapsed="false">
      <c r="A48" s="38" t="str">
        <f aca="false">IF(AND(N(K47)&gt;0.005,A47&lt;NPer),A47+1,"")</f>
        <v/>
      </c>
      <c r="B48" s="39" t="str">
        <f aca="false">IF(A48="","",EDATE(Disb,A48*MPP))</f>
        <v/>
      </c>
      <c r="C48" s="40" t="str">
        <f aca="false">IF(A48="","",IF(A48&lt;=Grace,"Grace","Repayment"))</f>
        <v/>
      </c>
      <c r="D48" s="41" t="str">
        <f aca="false">IF(A48="","",K47)</f>
        <v/>
      </c>
      <c r="E48" s="41" t="str">
        <f aca="false">IF(AND(A48&lt;&gt;"",D48&gt;0.005),F48+G48,"")</f>
        <v/>
      </c>
      <c r="F48" s="41" t="str">
        <f aca="false">IF(AND(A48&lt;&gt;"",D48&gt;0.005),ROUND(D48*RP,2),"")</f>
        <v/>
      </c>
      <c r="G48" s="41" t="str">
        <f aca="false">IF(AND(A48&lt;&gt;"",D48&gt;0.005),IF(A48&lt;=Grace,0,IF(A48=NPer,D48,IF(Method="Equal principal (reducing payments)",MIN(ROUND(EqPrin,2),D48),MIN(ROUND(Annuity-F48,2),D48)))),"")</f>
        <v/>
      </c>
      <c r="H48" s="41" t="str">
        <f aca="false">IF(AND(A48&lt;&gt;"",D48&gt;0.005),IF(A48&lt;=Grace,0,MIN(Extra,D48-G48)),"")</f>
        <v/>
      </c>
      <c r="I48" s="41" t="str">
        <f aca="false">IF(AND(A48&lt;&gt;"",D48&gt;0.005),MIN(SUMIF(LumpN,A48,LumpAmt),D48-G48-H48),"")</f>
        <v/>
      </c>
      <c r="J48" s="42" t="str">
        <f aca="false">IF(AND(A48&lt;&gt;"",D48&gt;0.005),E48+H48+I48,"")</f>
        <v/>
      </c>
      <c r="K48" s="42" t="str">
        <f aca="false">IF(AND(A48&lt;&gt;"",D48&gt;0.005),ROUND(D48-G48-H48-I48,2),"")</f>
        <v/>
      </c>
      <c r="L48" s="41" t="str">
        <f aca="false">IF(AND(A48&lt;&gt;"",D48&gt;0.005),L47+F48,"")</f>
        <v/>
      </c>
      <c r="M48" s="41" t="str">
        <f aca="false">IF(AND(A48&lt;&gt;"",D48&gt;0.005),M47+G48+H48+I48,"")</f>
        <v/>
      </c>
      <c r="N48" s="43" t="str">
        <f aca="false">IF(B48="","",YEAR(B48))</f>
        <v/>
      </c>
      <c r="O48" s="44" t="n">
        <f aca="false">IF(AND(A48&lt;&gt;"",D48&gt;0.005),J48,0)</f>
        <v>0</v>
      </c>
      <c r="P48" s="44" t="n">
        <f aca="false">R47</f>
        <v>0</v>
      </c>
      <c r="Q48" s="44" t="n">
        <f aca="false">IF(AND(P48&gt;0.005,41&lt;=NPer),ROUND(P48*RP,2),0)</f>
        <v>0</v>
      </c>
      <c r="R48" s="44" t="n">
        <f aca="false">IF(AND(P48&gt;0.005,41&lt;=NPer),ROUND(P48-IF(41&lt;=Grace,0,IF(41=NPer,P48,IF(Method="Equal principal (reducing payments)",MIN(ROUND(EqPrin,2),P48),MIN(ROUND(Annuity-Q48,2),P48)))),2),0)</f>
        <v>0</v>
      </c>
    </row>
    <row r="49" customFormat="false" ht="15" hidden="false" customHeight="false" outlineLevel="0" collapsed="false">
      <c r="A49" s="38" t="str">
        <f aca="false">IF(AND(N(K48)&gt;0.005,A48&lt;NPer),A48+1,"")</f>
        <v/>
      </c>
      <c r="B49" s="39" t="str">
        <f aca="false">IF(A49="","",EDATE(Disb,A49*MPP))</f>
        <v/>
      </c>
      <c r="C49" s="40" t="str">
        <f aca="false">IF(A49="","",IF(A49&lt;=Grace,"Grace","Repayment"))</f>
        <v/>
      </c>
      <c r="D49" s="41" t="str">
        <f aca="false">IF(A49="","",K48)</f>
        <v/>
      </c>
      <c r="E49" s="41" t="str">
        <f aca="false">IF(AND(A49&lt;&gt;"",D49&gt;0.005),F49+G49,"")</f>
        <v/>
      </c>
      <c r="F49" s="41" t="str">
        <f aca="false">IF(AND(A49&lt;&gt;"",D49&gt;0.005),ROUND(D49*RP,2),"")</f>
        <v/>
      </c>
      <c r="G49" s="41" t="str">
        <f aca="false">IF(AND(A49&lt;&gt;"",D49&gt;0.005),IF(A49&lt;=Grace,0,IF(A49=NPer,D49,IF(Method="Equal principal (reducing payments)",MIN(ROUND(EqPrin,2),D49),MIN(ROUND(Annuity-F49,2),D49)))),"")</f>
        <v/>
      </c>
      <c r="H49" s="41" t="str">
        <f aca="false">IF(AND(A49&lt;&gt;"",D49&gt;0.005),IF(A49&lt;=Grace,0,MIN(Extra,D49-G49)),"")</f>
        <v/>
      </c>
      <c r="I49" s="41" t="str">
        <f aca="false">IF(AND(A49&lt;&gt;"",D49&gt;0.005),MIN(SUMIF(LumpN,A49,LumpAmt),D49-G49-H49),"")</f>
        <v/>
      </c>
      <c r="J49" s="42" t="str">
        <f aca="false">IF(AND(A49&lt;&gt;"",D49&gt;0.005),E49+H49+I49,"")</f>
        <v/>
      </c>
      <c r="K49" s="42" t="str">
        <f aca="false">IF(AND(A49&lt;&gt;"",D49&gt;0.005),ROUND(D49-G49-H49-I49,2),"")</f>
        <v/>
      </c>
      <c r="L49" s="41" t="str">
        <f aca="false">IF(AND(A49&lt;&gt;"",D49&gt;0.005),L48+F49,"")</f>
        <v/>
      </c>
      <c r="M49" s="41" t="str">
        <f aca="false">IF(AND(A49&lt;&gt;"",D49&gt;0.005),M48+G49+H49+I49,"")</f>
        <v/>
      </c>
      <c r="N49" s="43" t="str">
        <f aca="false">IF(B49="","",YEAR(B49))</f>
        <v/>
      </c>
      <c r="O49" s="44" t="n">
        <f aca="false">IF(AND(A49&lt;&gt;"",D49&gt;0.005),J49,0)</f>
        <v>0</v>
      </c>
      <c r="P49" s="44" t="n">
        <f aca="false">R48</f>
        <v>0</v>
      </c>
      <c r="Q49" s="44" t="n">
        <f aca="false">IF(AND(P49&gt;0.005,42&lt;=NPer),ROUND(P49*RP,2),0)</f>
        <v>0</v>
      </c>
      <c r="R49" s="44" t="n">
        <f aca="false">IF(AND(P49&gt;0.005,42&lt;=NPer),ROUND(P49-IF(42&lt;=Grace,0,IF(42=NPer,P49,IF(Method="Equal principal (reducing payments)",MIN(ROUND(EqPrin,2),P49),MIN(ROUND(Annuity-Q49,2),P49)))),2),0)</f>
        <v>0</v>
      </c>
    </row>
    <row r="50" customFormat="false" ht="15" hidden="false" customHeight="false" outlineLevel="0" collapsed="false">
      <c r="A50" s="38" t="str">
        <f aca="false">IF(AND(N(K49)&gt;0.005,A49&lt;NPer),A49+1,"")</f>
        <v/>
      </c>
      <c r="B50" s="39" t="str">
        <f aca="false">IF(A50="","",EDATE(Disb,A50*MPP))</f>
        <v/>
      </c>
      <c r="C50" s="40" t="str">
        <f aca="false">IF(A50="","",IF(A50&lt;=Grace,"Grace","Repayment"))</f>
        <v/>
      </c>
      <c r="D50" s="41" t="str">
        <f aca="false">IF(A50="","",K49)</f>
        <v/>
      </c>
      <c r="E50" s="41" t="str">
        <f aca="false">IF(AND(A50&lt;&gt;"",D50&gt;0.005),F50+G50,"")</f>
        <v/>
      </c>
      <c r="F50" s="41" t="str">
        <f aca="false">IF(AND(A50&lt;&gt;"",D50&gt;0.005),ROUND(D50*RP,2),"")</f>
        <v/>
      </c>
      <c r="G50" s="41" t="str">
        <f aca="false">IF(AND(A50&lt;&gt;"",D50&gt;0.005),IF(A50&lt;=Grace,0,IF(A50=NPer,D50,IF(Method="Equal principal (reducing payments)",MIN(ROUND(EqPrin,2),D50),MIN(ROUND(Annuity-F50,2),D50)))),"")</f>
        <v/>
      </c>
      <c r="H50" s="41" t="str">
        <f aca="false">IF(AND(A50&lt;&gt;"",D50&gt;0.005),IF(A50&lt;=Grace,0,MIN(Extra,D50-G50)),"")</f>
        <v/>
      </c>
      <c r="I50" s="41" t="str">
        <f aca="false">IF(AND(A50&lt;&gt;"",D50&gt;0.005),MIN(SUMIF(LumpN,A50,LumpAmt),D50-G50-H50),"")</f>
        <v/>
      </c>
      <c r="J50" s="42" t="str">
        <f aca="false">IF(AND(A50&lt;&gt;"",D50&gt;0.005),E50+H50+I50,"")</f>
        <v/>
      </c>
      <c r="K50" s="42" t="str">
        <f aca="false">IF(AND(A50&lt;&gt;"",D50&gt;0.005),ROUND(D50-G50-H50-I50,2),"")</f>
        <v/>
      </c>
      <c r="L50" s="41" t="str">
        <f aca="false">IF(AND(A50&lt;&gt;"",D50&gt;0.005),L49+F50,"")</f>
        <v/>
      </c>
      <c r="M50" s="41" t="str">
        <f aca="false">IF(AND(A50&lt;&gt;"",D50&gt;0.005),M49+G50+H50+I50,"")</f>
        <v/>
      </c>
      <c r="N50" s="43" t="str">
        <f aca="false">IF(B50="","",YEAR(B50))</f>
        <v/>
      </c>
      <c r="O50" s="44" t="n">
        <f aca="false">IF(AND(A50&lt;&gt;"",D50&gt;0.005),J50,0)</f>
        <v>0</v>
      </c>
      <c r="P50" s="44" t="n">
        <f aca="false">R49</f>
        <v>0</v>
      </c>
      <c r="Q50" s="44" t="n">
        <f aca="false">IF(AND(P50&gt;0.005,43&lt;=NPer),ROUND(P50*RP,2),0)</f>
        <v>0</v>
      </c>
      <c r="R50" s="44" t="n">
        <f aca="false">IF(AND(P50&gt;0.005,43&lt;=NPer),ROUND(P50-IF(43&lt;=Grace,0,IF(43=NPer,P50,IF(Method="Equal principal (reducing payments)",MIN(ROUND(EqPrin,2),P50),MIN(ROUND(Annuity-Q50,2),P50)))),2),0)</f>
        <v>0</v>
      </c>
    </row>
    <row r="51" customFormat="false" ht="15" hidden="false" customHeight="false" outlineLevel="0" collapsed="false">
      <c r="A51" s="38" t="str">
        <f aca="false">IF(AND(N(K50)&gt;0.005,A50&lt;NPer),A50+1,"")</f>
        <v/>
      </c>
      <c r="B51" s="39" t="str">
        <f aca="false">IF(A51="","",EDATE(Disb,A51*MPP))</f>
        <v/>
      </c>
      <c r="C51" s="40" t="str">
        <f aca="false">IF(A51="","",IF(A51&lt;=Grace,"Grace","Repayment"))</f>
        <v/>
      </c>
      <c r="D51" s="41" t="str">
        <f aca="false">IF(A51="","",K50)</f>
        <v/>
      </c>
      <c r="E51" s="41" t="str">
        <f aca="false">IF(AND(A51&lt;&gt;"",D51&gt;0.005),F51+G51,"")</f>
        <v/>
      </c>
      <c r="F51" s="41" t="str">
        <f aca="false">IF(AND(A51&lt;&gt;"",D51&gt;0.005),ROUND(D51*RP,2),"")</f>
        <v/>
      </c>
      <c r="G51" s="41" t="str">
        <f aca="false">IF(AND(A51&lt;&gt;"",D51&gt;0.005),IF(A51&lt;=Grace,0,IF(A51=NPer,D51,IF(Method="Equal principal (reducing payments)",MIN(ROUND(EqPrin,2),D51),MIN(ROUND(Annuity-F51,2),D51)))),"")</f>
        <v/>
      </c>
      <c r="H51" s="41" t="str">
        <f aca="false">IF(AND(A51&lt;&gt;"",D51&gt;0.005),IF(A51&lt;=Grace,0,MIN(Extra,D51-G51)),"")</f>
        <v/>
      </c>
      <c r="I51" s="41" t="str">
        <f aca="false">IF(AND(A51&lt;&gt;"",D51&gt;0.005),MIN(SUMIF(LumpN,A51,LumpAmt),D51-G51-H51),"")</f>
        <v/>
      </c>
      <c r="J51" s="42" t="str">
        <f aca="false">IF(AND(A51&lt;&gt;"",D51&gt;0.005),E51+H51+I51,"")</f>
        <v/>
      </c>
      <c r="K51" s="42" t="str">
        <f aca="false">IF(AND(A51&lt;&gt;"",D51&gt;0.005),ROUND(D51-G51-H51-I51,2),"")</f>
        <v/>
      </c>
      <c r="L51" s="41" t="str">
        <f aca="false">IF(AND(A51&lt;&gt;"",D51&gt;0.005),L50+F51,"")</f>
        <v/>
      </c>
      <c r="M51" s="41" t="str">
        <f aca="false">IF(AND(A51&lt;&gt;"",D51&gt;0.005),M50+G51+H51+I51,"")</f>
        <v/>
      </c>
      <c r="N51" s="43" t="str">
        <f aca="false">IF(B51="","",YEAR(B51))</f>
        <v/>
      </c>
      <c r="O51" s="44" t="n">
        <f aca="false">IF(AND(A51&lt;&gt;"",D51&gt;0.005),J51,0)</f>
        <v>0</v>
      </c>
      <c r="P51" s="44" t="n">
        <f aca="false">R50</f>
        <v>0</v>
      </c>
      <c r="Q51" s="44" t="n">
        <f aca="false">IF(AND(P51&gt;0.005,44&lt;=NPer),ROUND(P51*RP,2),0)</f>
        <v>0</v>
      </c>
      <c r="R51" s="44" t="n">
        <f aca="false">IF(AND(P51&gt;0.005,44&lt;=NPer),ROUND(P51-IF(44&lt;=Grace,0,IF(44=NPer,P51,IF(Method="Equal principal (reducing payments)",MIN(ROUND(EqPrin,2),P51),MIN(ROUND(Annuity-Q51,2),P51)))),2),0)</f>
        <v>0</v>
      </c>
    </row>
    <row r="52" customFormat="false" ht="15" hidden="false" customHeight="false" outlineLevel="0" collapsed="false">
      <c r="A52" s="38" t="str">
        <f aca="false">IF(AND(N(K51)&gt;0.005,A51&lt;NPer),A51+1,"")</f>
        <v/>
      </c>
      <c r="B52" s="39" t="str">
        <f aca="false">IF(A52="","",EDATE(Disb,A52*MPP))</f>
        <v/>
      </c>
      <c r="C52" s="40" t="str">
        <f aca="false">IF(A52="","",IF(A52&lt;=Grace,"Grace","Repayment"))</f>
        <v/>
      </c>
      <c r="D52" s="41" t="str">
        <f aca="false">IF(A52="","",K51)</f>
        <v/>
      </c>
      <c r="E52" s="41" t="str">
        <f aca="false">IF(AND(A52&lt;&gt;"",D52&gt;0.005),F52+G52,"")</f>
        <v/>
      </c>
      <c r="F52" s="41" t="str">
        <f aca="false">IF(AND(A52&lt;&gt;"",D52&gt;0.005),ROUND(D52*RP,2),"")</f>
        <v/>
      </c>
      <c r="G52" s="41" t="str">
        <f aca="false">IF(AND(A52&lt;&gt;"",D52&gt;0.005),IF(A52&lt;=Grace,0,IF(A52=NPer,D52,IF(Method="Equal principal (reducing payments)",MIN(ROUND(EqPrin,2),D52),MIN(ROUND(Annuity-F52,2),D52)))),"")</f>
        <v/>
      </c>
      <c r="H52" s="41" t="str">
        <f aca="false">IF(AND(A52&lt;&gt;"",D52&gt;0.005),IF(A52&lt;=Grace,0,MIN(Extra,D52-G52)),"")</f>
        <v/>
      </c>
      <c r="I52" s="41" t="str">
        <f aca="false">IF(AND(A52&lt;&gt;"",D52&gt;0.005),MIN(SUMIF(LumpN,A52,LumpAmt),D52-G52-H52),"")</f>
        <v/>
      </c>
      <c r="J52" s="42" t="str">
        <f aca="false">IF(AND(A52&lt;&gt;"",D52&gt;0.005),E52+H52+I52,"")</f>
        <v/>
      </c>
      <c r="K52" s="42" t="str">
        <f aca="false">IF(AND(A52&lt;&gt;"",D52&gt;0.005),ROUND(D52-G52-H52-I52,2),"")</f>
        <v/>
      </c>
      <c r="L52" s="41" t="str">
        <f aca="false">IF(AND(A52&lt;&gt;"",D52&gt;0.005),L51+F52,"")</f>
        <v/>
      </c>
      <c r="M52" s="41" t="str">
        <f aca="false">IF(AND(A52&lt;&gt;"",D52&gt;0.005),M51+G52+H52+I52,"")</f>
        <v/>
      </c>
      <c r="N52" s="43" t="str">
        <f aca="false">IF(B52="","",YEAR(B52))</f>
        <v/>
      </c>
      <c r="O52" s="44" t="n">
        <f aca="false">IF(AND(A52&lt;&gt;"",D52&gt;0.005),J52,0)</f>
        <v>0</v>
      </c>
      <c r="P52" s="44" t="n">
        <f aca="false">R51</f>
        <v>0</v>
      </c>
      <c r="Q52" s="44" t="n">
        <f aca="false">IF(AND(P52&gt;0.005,45&lt;=NPer),ROUND(P52*RP,2),0)</f>
        <v>0</v>
      </c>
      <c r="R52" s="44" t="n">
        <f aca="false">IF(AND(P52&gt;0.005,45&lt;=NPer),ROUND(P52-IF(45&lt;=Grace,0,IF(45=NPer,P52,IF(Method="Equal principal (reducing payments)",MIN(ROUND(EqPrin,2),P52),MIN(ROUND(Annuity-Q52,2),P52)))),2),0)</f>
        <v>0</v>
      </c>
    </row>
    <row r="53" customFormat="false" ht="15" hidden="false" customHeight="false" outlineLevel="0" collapsed="false">
      <c r="A53" s="38" t="str">
        <f aca="false">IF(AND(N(K52)&gt;0.005,A52&lt;NPer),A52+1,"")</f>
        <v/>
      </c>
      <c r="B53" s="39" t="str">
        <f aca="false">IF(A53="","",EDATE(Disb,A53*MPP))</f>
        <v/>
      </c>
      <c r="C53" s="40" t="str">
        <f aca="false">IF(A53="","",IF(A53&lt;=Grace,"Grace","Repayment"))</f>
        <v/>
      </c>
      <c r="D53" s="41" t="str">
        <f aca="false">IF(A53="","",K52)</f>
        <v/>
      </c>
      <c r="E53" s="41" t="str">
        <f aca="false">IF(AND(A53&lt;&gt;"",D53&gt;0.005),F53+G53,"")</f>
        <v/>
      </c>
      <c r="F53" s="41" t="str">
        <f aca="false">IF(AND(A53&lt;&gt;"",D53&gt;0.005),ROUND(D53*RP,2),"")</f>
        <v/>
      </c>
      <c r="G53" s="41" t="str">
        <f aca="false">IF(AND(A53&lt;&gt;"",D53&gt;0.005),IF(A53&lt;=Grace,0,IF(A53=NPer,D53,IF(Method="Equal principal (reducing payments)",MIN(ROUND(EqPrin,2),D53),MIN(ROUND(Annuity-F53,2),D53)))),"")</f>
        <v/>
      </c>
      <c r="H53" s="41" t="str">
        <f aca="false">IF(AND(A53&lt;&gt;"",D53&gt;0.005),IF(A53&lt;=Grace,0,MIN(Extra,D53-G53)),"")</f>
        <v/>
      </c>
      <c r="I53" s="41" t="str">
        <f aca="false">IF(AND(A53&lt;&gt;"",D53&gt;0.005),MIN(SUMIF(LumpN,A53,LumpAmt),D53-G53-H53),"")</f>
        <v/>
      </c>
      <c r="J53" s="42" t="str">
        <f aca="false">IF(AND(A53&lt;&gt;"",D53&gt;0.005),E53+H53+I53,"")</f>
        <v/>
      </c>
      <c r="K53" s="42" t="str">
        <f aca="false">IF(AND(A53&lt;&gt;"",D53&gt;0.005),ROUND(D53-G53-H53-I53,2),"")</f>
        <v/>
      </c>
      <c r="L53" s="41" t="str">
        <f aca="false">IF(AND(A53&lt;&gt;"",D53&gt;0.005),L52+F53,"")</f>
        <v/>
      </c>
      <c r="M53" s="41" t="str">
        <f aca="false">IF(AND(A53&lt;&gt;"",D53&gt;0.005),M52+G53+H53+I53,"")</f>
        <v/>
      </c>
      <c r="N53" s="43" t="str">
        <f aca="false">IF(B53="","",YEAR(B53))</f>
        <v/>
      </c>
      <c r="O53" s="44" t="n">
        <f aca="false">IF(AND(A53&lt;&gt;"",D53&gt;0.005),J53,0)</f>
        <v>0</v>
      </c>
      <c r="P53" s="44" t="n">
        <f aca="false">R52</f>
        <v>0</v>
      </c>
      <c r="Q53" s="44" t="n">
        <f aca="false">IF(AND(P53&gt;0.005,46&lt;=NPer),ROUND(P53*RP,2),0)</f>
        <v>0</v>
      </c>
      <c r="R53" s="44" t="n">
        <f aca="false">IF(AND(P53&gt;0.005,46&lt;=NPer),ROUND(P53-IF(46&lt;=Grace,0,IF(46=NPer,P53,IF(Method="Equal principal (reducing payments)",MIN(ROUND(EqPrin,2),P53),MIN(ROUND(Annuity-Q53,2),P53)))),2),0)</f>
        <v>0</v>
      </c>
    </row>
    <row r="54" customFormat="false" ht="15" hidden="false" customHeight="false" outlineLevel="0" collapsed="false">
      <c r="A54" s="38" t="str">
        <f aca="false">IF(AND(N(K53)&gt;0.005,A53&lt;NPer),A53+1,"")</f>
        <v/>
      </c>
      <c r="B54" s="39" t="str">
        <f aca="false">IF(A54="","",EDATE(Disb,A54*MPP))</f>
        <v/>
      </c>
      <c r="C54" s="40" t="str">
        <f aca="false">IF(A54="","",IF(A54&lt;=Grace,"Grace","Repayment"))</f>
        <v/>
      </c>
      <c r="D54" s="41" t="str">
        <f aca="false">IF(A54="","",K53)</f>
        <v/>
      </c>
      <c r="E54" s="41" t="str">
        <f aca="false">IF(AND(A54&lt;&gt;"",D54&gt;0.005),F54+G54,"")</f>
        <v/>
      </c>
      <c r="F54" s="41" t="str">
        <f aca="false">IF(AND(A54&lt;&gt;"",D54&gt;0.005),ROUND(D54*RP,2),"")</f>
        <v/>
      </c>
      <c r="G54" s="41" t="str">
        <f aca="false">IF(AND(A54&lt;&gt;"",D54&gt;0.005),IF(A54&lt;=Grace,0,IF(A54=NPer,D54,IF(Method="Equal principal (reducing payments)",MIN(ROUND(EqPrin,2),D54),MIN(ROUND(Annuity-F54,2),D54)))),"")</f>
        <v/>
      </c>
      <c r="H54" s="41" t="str">
        <f aca="false">IF(AND(A54&lt;&gt;"",D54&gt;0.005),IF(A54&lt;=Grace,0,MIN(Extra,D54-G54)),"")</f>
        <v/>
      </c>
      <c r="I54" s="41" t="str">
        <f aca="false">IF(AND(A54&lt;&gt;"",D54&gt;0.005),MIN(SUMIF(LumpN,A54,LumpAmt),D54-G54-H54),"")</f>
        <v/>
      </c>
      <c r="J54" s="42" t="str">
        <f aca="false">IF(AND(A54&lt;&gt;"",D54&gt;0.005),E54+H54+I54,"")</f>
        <v/>
      </c>
      <c r="K54" s="42" t="str">
        <f aca="false">IF(AND(A54&lt;&gt;"",D54&gt;0.005),ROUND(D54-G54-H54-I54,2),"")</f>
        <v/>
      </c>
      <c r="L54" s="41" t="str">
        <f aca="false">IF(AND(A54&lt;&gt;"",D54&gt;0.005),L53+F54,"")</f>
        <v/>
      </c>
      <c r="M54" s="41" t="str">
        <f aca="false">IF(AND(A54&lt;&gt;"",D54&gt;0.005),M53+G54+H54+I54,"")</f>
        <v/>
      </c>
      <c r="N54" s="43" t="str">
        <f aca="false">IF(B54="","",YEAR(B54))</f>
        <v/>
      </c>
      <c r="O54" s="44" t="n">
        <f aca="false">IF(AND(A54&lt;&gt;"",D54&gt;0.005),J54,0)</f>
        <v>0</v>
      </c>
      <c r="P54" s="44" t="n">
        <f aca="false">R53</f>
        <v>0</v>
      </c>
      <c r="Q54" s="44" t="n">
        <f aca="false">IF(AND(P54&gt;0.005,47&lt;=NPer),ROUND(P54*RP,2),0)</f>
        <v>0</v>
      </c>
      <c r="R54" s="44" t="n">
        <f aca="false">IF(AND(P54&gt;0.005,47&lt;=NPer),ROUND(P54-IF(47&lt;=Grace,0,IF(47=NPer,P54,IF(Method="Equal principal (reducing payments)",MIN(ROUND(EqPrin,2),P54),MIN(ROUND(Annuity-Q54,2),P54)))),2),0)</f>
        <v>0</v>
      </c>
    </row>
    <row r="55" customFormat="false" ht="15" hidden="false" customHeight="false" outlineLevel="0" collapsed="false">
      <c r="A55" s="38" t="str">
        <f aca="false">IF(AND(N(K54)&gt;0.005,A54&lt;NPer),A54+1,"")</f>
        <v/>
      </c>
      <c r="B55" s="39" t="str">
        <f aca="false">IF(A55="","",EDATE(Disb,A55*MPP))</f>
        <v/>
      </c>
      <c r="C55" s="40" t="str">
        <f aca="false">IF(A55="","",IF(A55&lt;=Grace,"Grace","Repayment"))</f>
        <v/>
      </c>
      <c r="D55" s="41" t="str">
        <f aca="false">IF(A55="","",K54)</f>
        <v/>
      </c>
      <c r="E55" s="41" t="str">
        <f aca="false">IF(AND(A55&lt;&gt;"",D55&gt;0.005),F55+G55,"")</f>
        <v/>
      </c>
      <c r="F55" s="41" t="str">
        <f aca="false">IF(AND(A55&lt;&gt;"",D55&gt;0.005),ROUND(D55*RP,2),"")</f>
        <v/>
      </c>
      <c r="G55" s="41" t="str">
        <f aca="false">IF(AND(A55&lt;&gt;"",D55&gt;0.005),IF(A55&lt;=Grace,0,IF(A55=NPer,D55,IF(Method="Equal principal (reducing payments)",MIN(ROUND(EqPrin,2),D55),MIN(ROUND(Annuity-F55,2),D55)))),"")</f>
        <v/>
      </c>
      <c r="H55" s="41" t="str">
        <f aca="false">IF(AND(A55&lt;&gt;"",D55&gt;0.005),IF(A55&lt;=Grace,0,MIN(Extra,D55-G55)),"")</f>
        <v/>
      </c>
      <c r="I55" s="41" t="str">
        <f aca="false">IF(AND(A55&lt;&gt;"",D55&gt;0.005),MIN(SUMIF(LumpN,A55,LumpAmt),D55-G55-H55),"")</f>
        <v/>
      </c>
      <c r="J55" s="42" t="str">
        <f aca="false">IF(AND(A55&lt;&gt;"",D55&gt;0.005),E55+H55+I55,"")</f>
        <v/>
      </c>
      <c r="K55" s="42" t="str">
        <f aca="false">IF(AND(A55&lt;&gt;"",D55&gt;0.005),ROUND(D55-G55-H55-I55,2),"")</f>
        <v/>
      </c>
      <c r="L55" s="41" t="str">
        <f aca="false">IF(AND(A55&lt;&gt;"",D55&gt;0.005),L54+F55,"")</f>
        <v/>
      </c>
      <c r="M55" s="41" t="str">
        <f aca="false">IF(AND(A55&lt;&gt;"",D55&gt;0.005),M54+G55+H55+I55,"")</f>
        <v/>
      </c>
      <c r="N55" s="43" t="str">
        <f aca="false">IF(B55="","",YEAR(B55))</f>
        <v/>
      </c>
      <c r="O55" s="44" t="n">
        <f aca="false">IF(AND(A55&lt;&gt;"",D55&gt;0.005),J55,0)</f>
        <v>0</v>
      </c>
      <c r="P55" s="44" t="n">
        <f aca="false">R54</f>
        <v>0</v>
      </c>
      <c r="Q55" s="44" t="n">
        <f aca="false">IF(AND(P55&gt;0.005,48&lt;=NPer),ROUND(P55*RP,2),0)</f>
        <v>0</v>
      </c>
      <c r="R55" s="44" t="n">
        <f aca="false">IF(AND(P55&gt;0.005,48&lt;=NPer),ROUND(P55-IF(48&lt;=Grace,0,IF(48=NPer,P55,IF(Method="Equal principal (reducing payments)",MIN(ROUND(EqPrin,2),P55),MIN(ROUND(Annuity-Q55,2),P55)))),2),0)</f>
        <v>0</v>
      </c>
    </row>
    <row r="56" customFormat="false" ht="15" hidden="false" customHeight="false" outlineLevel="0" collapsed="false">
      <c r="A56" s="38" t="str">
        <f aca="false">IF(AND(N(K55)&gt;0.005,A55&lt;NPer),A55+1,"")</f>
        <v/>
      </c>
      <c r="B56" s="39" t="str">
        <f aca="false">IF(A56="","",EDATE(Disb,A56*MPP))</f>
        <v/>
      </c>
      <c r="C56" s="40" t="str">
        <f aca="false">IF(A56="","",IF(A56&lt;=Grace,"Grace","Repayment"))</f>
        <v/>
      </c>
      <c r="D56" s="41" t="str">
        <f aca="false">IF(A56="","",K55)</f>
        <v/>
      </c>
      <c r="E56" s="41" t="str">
        <f aca="false">IF(AND(A56&lt;&gt;"",D56&gt;0.005),F56+G56,"")</f>
        <v/>
      </c>
      <c r="F56" s="41" t="str">
        <f aca="false">IF(AND(A56&lt;&gt;"",D56&gt;0.005),ROUND(D56*RP,2),"")</f>
        <v/>
      </c>
      <c r="G56" s="41" t="str">
        <f aca="false">IF(AND(A56&lt;&gt;"",D56&gt;0.005),IF(A56&lt;=Grace,0,IF(A56=NPer,D56,IF(Method="Equal principal (reducing payments)",MIN(ROUND(EqPrin,2),D56),MIN(ROUND(Annuity-F56,2),D56)))),"")</f>
        <v/>
      </c>
      <c r="H56" s="41" t="str">
        <f aca="false">IF(AND(A56&lt;&gt;"",D56&gt;0.005),IF(A56&lt;=Grace,0,MIN(Extra,D56-G56)),"")</f>
        <v/>
      </c>
      <c r="I56" s="41" t="str">
        <f aca="false">IF(AND(A56&lt;&gt;"",D56&gt;0.005),MIN(SUMIF(LumpN,A56,LumpAmt),D56-G56-H56),"")</f>
        <v/>
      </c>
      <c r="J56" s="42" t="str">
        <f aca="false">IF(AND(A56&lt;&gt;"",D56&gt;0.005),E56+H56+I56,"")</f>
        <v/>
      </c>
      <c r="K56" s="42" t="str">
        <f aca="false">IF(AND(A56&lt;&gt;"",D56&gt;0.005),ROUND(D56-G56-H56-I56,2),"")</f>
        <v/>
      </c>
      <c r="L56" s="41" t="str">
        <f aca="false">IF(AND(A56&lt;&gt;"",D56&gt;0.005),L55+F56,"")</f>
        <v/>
      </c>
      <c r="M56" s="41" t="str">
        <f aca="false">IF(AND(A56&lt;&gt;"",D56&gt;0.005),M55+G56+H56+I56,"")</f>
        <v/>
      </c>
      <c r="N56" s="43" t="str">
        <f aca="false">IF(B56="","",YEAR(B56))</f>
        <v/>
      </c>
      <c r="O56" s="44" t="n">
        <f aca="false">IF(AND(A56&lt;&gt;"",D56&gt;0.005),J56,0)</f>
        <v>0</v>
      </c>
      <c r="P56" s="44" t="n">
        <f aca="false">R55</f>
        <v>0</v>
      </c>
      <c r="Q56" s="44" t="n">
        <f aca="false">IF(AND(P56&gt;0.005,49&lt;=NPer),ROUND(P56*RP,2),0)</f>
        <v>0</v>
      </c>
      <c r="R56" s="44" t="n">
        <f aca="false">IF(AND(P56&gt;0.005,49&lt;=NPer),ROUND(P56-IF(49&lt;=Grace,0,IF(49=NPer,P56,IF(Method="Equal principal (reducing payments)",MIN(ROUND(EqPrin,2),P56),MIN(ROUND(Annuity-Q56,2),P56)))),2),0)</f>
        <v>0</v>
      </c>
    </row>
    <row r="57" customFormat="false" ht="15" hidden="false" customHeight="false" outlineLevel="0" collapsed="false">
      <c r="A57" s="38" t="str">
        <f aca="false">IF(AND(N(K56)&gt;0.005,A56&lt;NPer),A56+1,"")</f>
        <v/>
      </c>
      <c r="B57" s="39" t="str">
        <f aca="false">IF(A57="","",EDATE(Disb,A57*MPP))</f>
        <v/>
      </c>
      <c r="C57" s="40" t="str">
        <f aca="false">IF(A57="","",IF(A57&lt;=Grace,"Grace","Repayment"))</f>
        <v/>
      </c>
      <c r="D57" s="41" t="str">
        <f aca="false">IF(A57="","",K56)</f>
        <v/>
      </c>
      <c r="E57" s="41" t="str">
        <f aca="false">IF(AND(A57&lt;&gt;"",D57&gt;0.005),F57+G57,"")</f>
        <v/>
      </c>
      <c r="F57" s="41" t="str">
        <f aca="false">IF(AND(A57&lt;&gt;"",D57&gt;0.005),ROUND(D57*RP,2),"")</f>
        <v/>
      </c>
      <c r="G57" s="41" t="str">
        <f aca="false">IF(AND(A57&lt;&gt;"",D57&gt;0.005),IF(A57&lt;=Grace,0,IF(A57=NPer,D57,IF(Method="Equal principal (reducing payments)",MIN(ROUND(EqPrin,2),D57),MIN(ROUND(Annuity-F57,2),D57)))),"")</f>
        <v/>
      </c>
      <c r="H57" s="41" t="str">
        <f aca="false">IF(AND(A57&lt;&gt;"",D57&gt;0.005),IF(A57&lt;=Grace,0,MIN(Extra,D57-G57)),"")</f>
        <v/>
      </c>
      <c r="I57" s="41" t="str">
        <f aca="false">IF(AND(A57&lt;&gt;"",D57&gt;0.005),MIN(SUMIF(LumpN,A57,LumpAmt),D57-G57-H57),"")</f>
        <v/>
      </c>
      <c r="J57" s="42" t="str">
        <f aca="false">IF(AND(A57&lt;&gt;"",D57&gt;0.005),E57+H57+I57,"")</f>
        <v/>
      </c>
      <c r="K57" s="42" t="str">
        <f aca="false">IF(AND(A57&lt;&gt;"",D57&gt;0.005),ROUND(D57-G57-H57-I57,2),"")</f>
        <v/>
      </c>
      <c r="L57" s="41" t="str">
        <f aca="false">IF(AND(A57&lt;&gt;"",D57&gt;0.005),L56+F57,"")</f>
        <v/>
      </c>
      <c r="M57" s="41" t="str">
        <f aca="false">IF(AND(A57&lt;&gt;"",D57&gt;0.005),M56+G57+H57+I57,"")</f>
        <v/>
      </c>
      <c r="N57" s="43" t="str">
        <f aca="false">IF(B57="","",YEAR(B57))</f>
        <v/>
      </c>
      <c r="O57" s="44" t="n">
        <f aca="false">IF(AND(A57&lt;&gt;"",D57&gt;0.005),J57,0)</f>
        <v>0</v>
      </c>
      <c r="P57" s="44" t="n">
        <f aca="false">R56</f>
        <v>0</v>
      </c>
      <c r="Q57" s="44" t="n">
        <f aca="false">IF(AND(P57&gt;0.005,50&lt;=NPer),ROUND(P57*RP,2),0)</f>
        <v>0</v>
      </c>
      <c r="R57" s="44" t="n">
        <f aca="false">IF(AND(P57&gt;0.005,50&lt;=NPer),ROUND(P57-IF(50&lt;=Grace,0,IF(50=NPer,P57,IF(Method="Equal principal (reducing payments)",MIN(ROUND(EqPrin,2),P57),MIN(ROUND(Annuity-Q57,2),P57)))),2),0)</f>
        <v>0</v>
      </c>
    </row>
    <row r="58" customFormat="false" ht="15" hidden="false" customHeight="false" outlineLevel="0" collapsed="false">
      <c r="A58" s="38" t="str">
        <f aca="false">IF(AND(N(K57)&gt;0.005,A57&lt;NPer),A57+1,"")</f>
        <v/>
      </c>
      <c r="B58" s="39" t="str">
        <f aca="false">IF(A58="","",EDATE(Disb,A58*MPP))</f>
        <v/>
      </c>
      <c r="C58" s="40" t="str">
        <f aca="false">IF(A58="","",IF(A58&lt;=Grace,"Grace","Repayment"))</f>
        <v/>
      </c>
      <c r="D58" s="41" t="str">
        <f aca="false">IF(A58="","",K57)</f>
        <v/>
      </c>
      <c r="E58" s="41" t="str">
        <f aca="false">IF(AND(A58&lt;&gt;"",D58&gt;0.005),F58+G58,"")</f>
        <v/>
      </c>
      <c r="F58" s="41" t="str">
        <f aca="false">IF(AND(A58&lt;&gt;"",D58&gt;0.005),ROUND(D58*RP,2),"")</f>
        <v/>
      </c>
      <c r="G58" s="41" t="str">
        <f aca="false">IF(AND(A58&lt;&gt;"",D58&gt;0.005),IF(A58&lt;=Grace,0,IF(A58=NPer,D58,IF(Method="Equal principal (reducing payments)",MIN(ROUND(EqPrin,2),D58),MIN(ROUND(Annuity-F58,2),D58)))),"")</f>
        <v/>
      </c>
      <c r="H58" s="41" t="str">
        <f aca="false">IF(AND(A58&lt;&gt;"",D58&gt;0.005),IF(A58&lt;=Grace,0,MIN(Extra,D58-G58)),"")</f>
        <v/>
      </c>
      <c r="I58" s="41" t="str">
        <f aca="false">IF(AND(A58&lt;&gt;"",D58&gt;0.005),MIN(SUMIF(LumpN,A58,LumpAmt),D58-G58-H58),"")</f>
        <v/>
      </c>
      <c r="J58" s="42" t="str">
        <f aca="false">IF(AND(A58&lt;&gt;"",D58&gt;0.005),E58+H58+I58,"")</f>
        <v/>
      </c>
      <c r="K58" s="42" t="str">
        <f aca="false">IF(AND(A58&lt;&gt;"",D58&gt;0.005),ROUND(D58-G58-H58-I58,2),"")</f>
        <v/>
      </c>
      <c r="L58" s="41" t="str">
        <f aca="false">IF(AND(A58&lt;&gt;"",D58&gt;0.005),L57+F58,"")</f>
        <v/>
      </c>
      <c r="M58" s="41" t="str">
        <f aca="false">IF(AND(A58&lt;&gt;"",D58&gt;0.005),M57+G58+H58+I58,"")</f>
        <v/>
      </c>
      <c r="N58" s="43" t="str">
        <f aca="false">IF(B58="","",YEAR(B58))</f>
        <v/>
      </c>
      <c r="O58" s="44" t="n">
        <f aca="false">IF(AND(A58&lt;&gt;"",D58&gt;0.005),J58,0)</f>
        <v>0</v>
      </c>
      <c r="P58" s="44" t="n">
        <f aca="false">R57</f>
        <v>0</v>
      </c>
      <c r="Q58" s="44" t="n">
        <f aca="false">IF(AND(P58&gt;0.005,51&lt;=NPer),ROUND(P58*RP,2),0)</f>
        <v>0</v>
      </c>
      <c r="R58" s="44" t="n">
        <f aca="false">IF(AND(P58&gt;0.005,51&lt;=NPer),ROUND(P58-IF(51&lt;=Grace,0,IF(51=NPer,P58,IF(Method="Equal principal (reducing payments)",MIN(ROUND(EqPrin,2),P58),MIN(ROUND(Annuity-Q58,2),P58)))),2),0)</f>
        <v>0</v>
      </c>
    </row>
    <row r="59" customFormat="false" ht="15" hidden="false" customHeight="false" outlineLevel="0" collapsed="false">
      <c r="A59" s="38" t="str">
        <f aca="false">IF(AND(N(K58)&gt;0.005,A58&lt;NPer),A58+1,"")</f>
        <v/>
      </c>
      <c r="B59" s="39" t="str">
        <f aca="false">IF(A59="","",EDATE(Disb,A59*MPP))</f>
        <v/>
      </c>
      <c r="C59" s="40" t="str">
        <f aca="false">IF(A59="","",IF(A59&lt;=Grace,"Grace","Repayment"))</f>
        <v/>
      </c>
      <c r="D59" s="41" t="str">
        <f aca="false">IF(A59="","",K58)</f>
        <v/>
      </c>
      <c r="E59" s="41" t="str">
        <f aca="false">IF(AND(A59&lt;&gt;"",D59&gt;0.005),F59+G59,"")</f>
        <v/>
      </c>
      <c r="F59" s="41" t="str">
        <f aca="false">IF(AND(A59&lt;&gt;"",D59&gt;0.005),ROUND(D59*RP,2),"")</f>
        <v/>
      </c>
      <c r="G59" s="41" t="str">
        <f aca="false">IF(AND(A59&lt;&gt;"",D59&gt;0.005),IF(A59&lt;=Grace,0,IF(A59=NPer,D59,IF(Method="Equal principal (reducing payments)",MIN(ROUND(EqPrin,2),D59),MIN(ROUND(Annuity-F59,2),D59)))),"")</f>
        <v/>
      </c>
      <c r="H59" s="41" t="str">
        <f aca="false">IF(AND(A59&lt;&gt;"",D59&gt;0.005),IF(A59&lt;=Grace,0,MIN(Extra,D59-G59)),"")</f>
        <v/>
      </c>
      <c r="I59" s="41" t="str">
        <f aca="false">IF(AND(A59&lt;&gt;"",D59&gt;0.005),MIN(SUMIF(LumpN,A59,LumpAmt),D59-G59-H59),"")</f>
        <v/>
      </c>
      <c r="J59" s="42" t="str">
        <f aca="false">IF(AND(A59&lt;&gt;"",D59&gt;0.005),E59+H59+I59,"")</f>
        <v/>
      </c>
      <c r="K59" s="42" t="str">
        <f aca="false">IF(AND(A59&lt;&gt;"",D59&gt;0.005),ROUND(D59-G59-H59-I59,2),"")</f>
        <v/>
      </c>
      <c r="L59" s="41" t="str">
        <f aca="false">IF(AND(A59&lt;&gt;"",D59&gt;0.005),L58+F59,"")</f>
        <v/>
      </c>
      <c r="M59" s="41" t="str">
        <f aca="false">IF(AND(A59&lt;&gt;"",D59&gt;0.005),M58+G59+H59+I59,"")</f>
        <v/>
      </c>
      <c r="N59" s="43" t="str">
        <f aca="false">IF(B59="","",YEAR(B59))</f>
        <v/>
      </c>
      <c r="O59" s="44" t="n">
        <f aca="false">IF(AND(A59&lt;&gt;"",D59&gt;0.005),J59,0)</f>
        <v>0</v>
      </c>
      <c r="P59" s="44" t="n">
        <f aca="false">R58</f>
        <v>0</v>
      </c>
      <c r="Q59" s="44" t="n">
        <f aca="false">IF(AND(P59&gt;0.005,52&lt;=NPer),ROUND(P59*RP,2),0)</f>
        <v>0</v>
      </c>
      <c r="R59" s="44" t="n">
        <f aca="false">IF(AND(P59&gt;0.005,52&lt;=NPer),ROUND(P59-IF(52&lt;=Grace,0,IF(52=NPer,P59,IF(Method="Equal principal (reducing payments)",MIN(ROUND(EqPrin,2),P59),MIN(ROUND(Annuity-Q59,2),P59)))),2),0)</f>
        <v>0</v>
      </c>
    </row>
    <row r="60" customFormat="false" ht="15" hidden="false" customHeight="false" outlineLevel="0" collapsed="false">
      <c r="A60" s="38" t="str">
        <f aca="false">IF(AND(N(K59)&gt;0.005,A59&lt;NPer),A59+1,"")</f>
        <v/>
      </c>
      <c r="B60" s="39" t="str">
        <f aca="false">IF(A60="","",EDATE(Disb,A60*MPP))</f>
        <v/>
      </c>
      <c r="C60" s="40" t="str">
        <f aca="false">IF(A60="","",IF(A60&lt;=Grace,"Grace","Repayment"))</f>
        <v/>
      </c>
      <c r="D60" s="41" t="str">
        <f aca="false">IF(A60="","",K59)</f>
        <v/>
      </c>
      <c r="E60" s="41" t="str">
        <f aca="false">IF(AND(A60&lt;&gt;"",D60&gt;0.005),F60+G60,"")</f>
        <v/>
      </c>
      <c r="F60" s="41" t="str">
        <f aca="false">IF(AND(A60&lt;&gt;"",D60&gt;0.005),ROUND(D60*RP,2),"")</f>
        <v/>
      </c>
      <c r="G60" s="41" t="str">
        <f aca="false">IF(AND(A60&lt;&gt;"",D60&gt;0.005),IF(A60&lt;=Grace,0,IF(A60=NPer,D60,IF(Method="Equal principal (reducing payments)",MIN(ROUND(EqPrin,2),D60),MIN(ROUND(Annuity-F60,2),D60)))),"")</f>
        <v/>
      </c>
      <c r="H60" s="41" t="str">
        <f aca="false">IF(AND(A60&lt;&gt;"",D60&gt;0.005),IF(A60&lt;=Grace,0,MIN(Extra,D60-G60)),"")</f>
        <v/>
      </c>
      <c r="I60" s="41" t="str">
        <f aca="false">IF(AND(A60&lt;&gt;"",D60&gt;0.005),MIN(SUMIF(LumpN,A60,LumpAmt),D60-G60-H60),"")</f>
        <v/>
      </c>
      <c r="J60" s="42" t="str">
        <f aca="false">IF(AND(A60&lt;&gt;"",D60&gt;0.005),E60+H60+I60,"")</f>
        <v/>
      </c>
      <c r="K60" s="42" t="str">
        <f aca="false">IF(AND(A60&lt;&gt;"",D60&gt;0.005),ROUND(D60-G60-H60-I60,2),"")</f>
        <v/>
      </c>
      <c r="L60" s="41" t="str">
        <f aca="false">IF(AND(A60&lt;&gt;"",D60&gt;0.005),L59+F60,"")</f>
        <v/>
      </c>
      <c r="M60" s="41" t="str">
        <f aca="false">IF(AND(A60&lt;&gt;"",D60&gt;0.005),M59+G60+H60+I60,"")</f>
        <v/>
      </c>
      <c r="N60" s="43" t="str">
        <f aca="false">IF(B60="","",YEAR(B60))</f>
        <v/>
      </c>
      <c r="O60" s="44" t="n">
        <f aca="false">IF(AND(A60&lt;&gt;"",D60&gt;0.005),J60,0)</f>
        <v>0</v>
      </c>
      <c r="P60" s="44" t="n">
        <f aca="false">R59</f>
        <v>0</v>
      </c>
      <c r="Q60" s="44" t="n">
        <f aca="false">IF(AND(P60&gt;0.005,53&lt;=NPer),ROUND(P60*RP,2),0)</f>
        <v>0</v>
      </c>
      <c r="R60" s="44" t="n">
        <f aca="false">IF(AND(P60&gt;0.005,53&lt;=NPer),ROUND(P60-IF(53&lt;=Grace,0,IF(53=NPer,P60,IF(Method="Equal principal (reducing payments)",MIN(ROUND(EqPrin,2),P60),MIN(ROUND(Annuity-Q60,2),P60)))),2),0)</f>
        <v>0</v>
      </c>
    </row>
    <row r="61" customFormat="false" ht="15" hidden="false" customHeight="false" outlineLevel="0" collapsed="false">
      <c r="A61" s="38" t="str">
        <f aca="false">IF(AND(N(K60)&gt;0.005,A60&lt;NPer),A60+1,"")</f>
        <v/>
      </c>
      <c r="B61" s="39" t="str">
        <f aca="false">IF(A61="","",EDATE(Disb,A61*MPP))</f>
        <v/>
      </c>
      <c r="C61" s="40" t="str">
        <f aca="false">IF(A61="","",IF(A61&lt;=Grace,"Grace","Repayment"))</f>
        <v/>
      </c>
      <c r="D61" s="41" t="str">
        <f aca="false">IF(A61="","",K60)</f>
        <v/>
      </c>
      <c r="E61" s="41" t="str">
        <f aca="false">IF(AND(A61&lt;&gt;"",D61&gt;0.005),F61+G61,"")</f>
        <v/>
      </c>
      <c r="F61" s="41" t="str">
        <f aca="false">IF(AND(A61&lt;&gt;"",D61&gt;0.005),ROUND(D61*RP,2),"")</f>
        <v/>
      </c>
      <c r="G61" s="41" t="str">
        <f aca="false">IF(AND(A61&lt;&gt;"",D61&gt;0.005),IF(A61&lt;=Grace,0,IF(A61=NPer,D61,IF(Method="Equal principal (reducing payments)",MIN(ROUND(EqPrin,2),D61),MIN(ROUND(Annuity-F61,2),D61)))),"")</f>
        <v/>
      </c>
      <c r="H61" s="41" t="str">
        <f aca="false">IF(AND(A61&lt;&gt;"",D61&gt;0.005),IF(A61&lt;=Grace,0,MIN(Extra,D61-G61)),"")</f>
        <v/>
      </c>
      <c r="I61" s="41" t="str">
        <f aca="false">IF(AND(A61&lt;&gt;"",D61&gt;0.005),MIN(SUMIF(LumpN,A61,LumpAmt),D61-G61-H61),"")</f>
        <v/>
      </c>
      <c r="J61" s="42" t="str">
        <f aca="false">IF(AND(A61&lt;&gt;"",D61&gt;0.005),E61+H61+I61,"")</f>
        <v/>
      </c>
      <c r="K61" s="42" t="str">
        <f aca="false">IF(AND(A61&lt;&gt;"",D61&gt;0.005),ROUND(D61-G61-H61-I61,2),"")</f>
        <v/>
      </c>
      <c r="L61" s="41" t="str">
        <f aca="false">IF(AND(A61&lt;&gt;"",D61&gt;0.005),L60+F61,"")</f>
        <v/>
      </c>
      <c r="M61" s="41" t="str">
        <f aca="false">IF(AND(A61&lt;&gt;"",D61&gt;0.005),M60+G61+H61+I61,"")</f>
        <v/>
      </c>
      <c r="N61" s="43" t="str">
        <f aca="false">IF(B61="","",YEAR(B61))</f>
        <v/>
      </c>
      <c r="O61" s="44" t="n">
        <f aca="false">IF(AND(A61&lt;&gt;"",D61&gt;0.005),J61,0)</f>
        <v>0</v>
      </c>
      <c r="P61" s="44" t="n">
        <f aca="false">R60</f>
        <v>0</v>
      </c>
      <c r="Q61" s="44" t="n">
        <f aca="false">IF(AND(P61&gt;0.005,54&lt;=NPer),ROUND(P61*RP,2),0)</f>
        <v>0</v>
      </c>
      <c r="R61" s="44" t="n">
        <f aca="false">IF(AND(P61&gt;0.005,54&lt;=NPer),ROUND(P61-IF(54&lt;=Grace,0,IF(54=NPer,P61,IF(Method="Equal principal (reducing payments)",MIN(ROUND(EqPrin,2),P61),MIN(ROUND(Annuity-Q61,2),P61)))),2),0)</f>
        <v>0</v>
      </c>
    </row>
    <row r="62" customFormat="false" ht="15" hidden="false" customHeight="false" outlineLevel="0" collapsed="false">
      <c r="A62" s="38" t="str">
        <f aca="false">IF(AND(N(K61)&gt;0.005,A61&lt;NPer),A61+1,"")</f>
        <v/>
      </c>
      <c r="B62" s="39" t="str">
        <f aca="false">IF(A62="","",EDATE(Disb,A62*MPP))</f>
        <v/>
      </c>
      <c r="C62" s="40" t="str">
        <f aca="false">IF(A62="","",IF(A62&lt;=Grace,"Grace","Repayment"))</f>
        <v/>
      </c>
      <c r="D62" s="41" t="str">
        <f aca="false">IF(A62="","",K61)</f>
        <v/>
      </c>
      <c r="E62" s="41" t="str">
        <f aca="false">IF(AND(A62&lt;&gt;"",D62&gt;0.005),F62+G62,"")</f>
        <v/>
      </c>
      <c r="F62" s="41" t="str">
        <f aca="false">IF(AND(A62&lt;&gt;"",D62&gt;0.005),ROUND(D62*RP,2),"")</f>
        <v/>
      </c>
      <c r="G62" s="41" t="str">
        <f aca="false">IF(AND(A62&lt;&gt;"",D62&gt;0.005),IF(A62&lt;=Grace,0,IF(A62=NPer,D62,IF(Method="Equal principal (reducing payments)",MIN(ROUND(EqPrin,2),D62),MIN(ROUND(Annuity-F62,2),D62)))),"")</f>
        <v/>
      </c>
      <c r="H62" s="41" t="str">
        <f aca="false">IF(AND(A62&lt;&gt;"",D62&gt;0.005),IF(A62&lt;=Grace,0,MIN(Extra,D62-G62)),"")</f>
        <v/>
      </c>
      <c r="I62" s="41" t="str">
        <f aca="false">IF(AND(A62&lt;&gt;"",D62&gt;0.005),MIN(SUMIF(LumpN,A62,LumpAmt),D62-G62-H62),"")</f>
        <v/>
      </c>
      <c r="J62" s="42" t="str">
        <f aca="false">IF(AND(A62&lt;&gt;"",D62&gt;0.005),E62+H62+I62,"")</f>
        <v/>
      </c>
      <c r="K62" s="42" t="str">
        <f aca="false">IF(AND(A62&lt;&gt;"",D62&gt;0.005),ROUND(D62-G62-H62-I62,2),"")</f>
        <v/>
      </c>
      <c r="L62" s="41" t="str">
        <f aca="false">IF(AND(A62&lt;&gt;"",D62&gt;0.005),L61+F62,"")</f>
        <v/>
      </c>
      <c r="M62" s="41" t="str">
        <f aca="false">IF(AND(A62&lt;&gt;"",D62&gt;0.005),M61+G62+H62+I62,"")</f>
        <v/>
      </c>
      <c r="N62" s="43" t="str">
        <f aca="false">IF(B62="","",YEAR(B62))</f>
        <v/>
      </c>
      <c r="O62" s="44" t="n">
        <f aca="false">IF(AND(A62&lt;&gt;"",D62&gt;0.005),J62,0)</f>
        <v>0</v>
      </c>
      <c r="P62" s="44" t="n">
        <f aca="false">R61</f>
        <v>0</v>
      </c>
      <c r="Q62" s="44" t="n">
        <f aca="false">IF(AND(P62&gt;0.005,55&lt;=NPer),ROUND(P62*RP,2),0)</f>
        <v>0</v>
      </c>
      <c r="R62" s="44" t="n">
        <f aca="false">IF(AND(P62&gt;0.005,55&lt;=NPer),ROUND(P62-IF(55&lt;=Grace,0,IF(55=NPer,P62,IF(Method="Equal principal (reducing payments)",MIN(ROUND(EqPrin,2),P62),MIN(ROUND(Annuity-Q62,2),P62)))),2),0)</f>
        <v>0</v>
      </c>
    </row>
    <row r="63" customFormat="false" ht="15" hidden="false" customHeight="false" outlineLevel="0" collapsed="false">
      <c r="A63" s="38" t="str">
        <f aca="false">IF(AND(N(K62)&gt;0.005,A62&lt;NPer),A62+1,"")</f>
        <v/>
      </c>
      <c r="B63" s="39" t="str">
        <f aca="false">IF(A63="","",EDATE(Disb,A63*MPP))</f>
        <v/>
      </c>
      <c r="C63" s="40" t="str">
        <f aca="false">IF(A63="","",IF(A63&lt;=Grace,"Grace","Repayment"))</f>
        <v/>
      </c>
      <c r="D63" s="41" t="str">
        <f aca="false">IF(A63="","",K62)</f>
        <v/>
      </c>
      <c r="E63" s="41" t="str">
        <f aca="false">IF(AND(A63&lt;&gt;"",D63&gt;0.005),F63+G63,"")</f>
        <v/>
      </c>
      <c r="F63" s="41" t="str">
        <f aca="false">IF(AND(A63&lt;&gt;"",D63&gt;0.005),ROUND(D63*RP,2),"")</f>
        <v/>
      </c>
      <c r="G63" s="41" t="str">
        <f aca="false">IF(AND(A63&lt;&gt;"",D63&gt;0.005),IF(A63&lt;=Grace,0,IF(A63=NPer,D63,IF(Method="Equal principal (reducing payments)",MIN(ROUND(EqPrin,2),D63),MIN(ROUND(Annuity-F63,2),D63)))),"")</f>
        <v/>
      </c>
      <c r="H63" s="41" t="str">
        <f aca="false">IF(AND(A63&lt;&gt;"",D63&gt;0.005),IF(A63&lt;=Grace,0,MIN(Extra,D63-G63)),"")</f>
        <v/>
      </c>
      <c r="I63" s="41" t="str">
        <f aca="false">IF(AND(A63&lt;&gt;"",D63&gt;0.005),MIN(SUMIF(LumpN,A63,LumpAmt),D63-G63-H63),"")</f>
        <v/>
      </c>
      <c r="J63" s="42" t="str">
        <f aca="false">IF(AND(A63&lt;&gt;"",D63&gt;0.005),E63+H63+I63,"")</f>
        <v/>
      </c>
      <c r="K63" s="42" t="str">
        <f aca="false">IF(AND(A63&lt;&gt;"",D63&gt;0.005),ROUND(D63-G63-H63-I63,2),"")</f>
        <v/>
      </c>
      <c r="L63" s="41" t="str">
        <f aca="false">IF(AND(A63&lt;&gt;"",D63&gt;0.005),L62+F63,"")</f>
        <v/>
      </c>
      <c r="M63" s="41" t="str">
        <f aca="false">IF(AND(A63&lt;&gt;"",D63&gt;0.005),M62+G63+H63+I63,"")</f>
        <v/>
      </c>
      <c r="N63" s="43" t="str">
        <f aca="false">IF(B63="","",YEAR(B63))</f>
        <v/>
      </c>
      <c r="O63" s="44" t="n">
        <f aca="false">IF(AND(A63&lt;&gt;"",D63&gt;0.005),J63,0)</f>
        <v>0</v>
      </c>
      <c r="P63" s="44" t="n">
        <f aca="false">R62</f>
        <v>0</v>
      </c>
      <c r="Q63" s="44" t="n">
        <f aca="false">IF(AND(P63&gt;0.005,56&lt;=NPer),ROUND(P63*RP,2),0)</f>
        <v>0</v>
      </c>
      <c r="R63" s="44" t="n">
        <f aca="false">IF(AND(P63&gt;0.005,56&lt;=NPer),ROUND(P63-IF(56&lt;=Grace,0,IF(56=NPer,P63,IF(Method="Equal principal (reducing payments)",MIN(ROUND(EqPrin,2),P63),MIN(ROUND(Annuity-Q63,2),P63)))),2),0)</f>
        <v>0</v>
      </c>
    </row>
    <row r="64" customFormat="false" ht="15" hidden="false" customHeight="false" outlineLevel="0" collapsed="false">
      <c r="A64" s="38" t="str">
        <f aca="false">IF(AND(N(K63)&gt;0.005,A63&lt;NPer),A63+1,"")</f>
        <v/>
      </c>
      <c r="B64" s="39" t="str">
        <f aca="false">IF(A64="","",EDATE(Disb,A64*MPP))</f>
        <v/>
      </c>
      <c r="C64" s="40" t="str">
        <f aca="false">IF(A64="","",IF(A64&lt;=Grace,"Grace","Repayment"))</f>
        <v/>
      </c>
      <c r="D64" s="41" t="str">
        <f aca="false">IF(A64="","",K63)</f>
        <v/>
      </c>
      <c r="E64" s="41" t="str">
        <f aca="false">IF(AND(A64&lt;&gt;"",D64&gt;0.005),F64+G64,"")</f>
        <v/>
      </c>
      <c r="F64" s="41" t="str">
        <f aca="false">IF(AND(A64&lt;&gt;"",D64&gt;0.005),ROUND(D64*RP,2),"")</f>
        <v/>
      </c>
      <c r="G64" s="41" t="str">
        <f aca="false">IF(AND(A64&lt;&gt;"",D64&gt;0.005),IF(A64&lt;=Grace,0,IF(A64=NPer,D64,IF(Method="Equal principal (reducing payments)",MIN(ROUND(EqPrin,2),D64),MIN(ROUND(Annuity-F64,2),D64)))),"")</f>
        <v/>
      </c>
      <c r="H64" s="41" t="str">
        <f aca="false">IF(AND(A64&lt;&gt;"",D64&gt;0.005),IF(A64&lt;=Grace,0,MIN(Extra,D64-G64)),"")</f>
        <v/>
      </c>
      <c r="I64" s="41" t="str">
        <f aca="false">IF(AND(A64&lt;&gt;"",D64&gt;0.005),MIN(SUMIF(LumpN,A64,LumpAmt),D64-G64-H64),"")</f>
        <v/>
      </c>
      <c r="J64" s="42" t="str">
        <f aca="false">IF(AND(A64&lt;&gt;"",D64&gt;0.005),E64+H64+I64,"")</f>
        <v/>
      </c>
      <c r="K64" s="42" t="str">
        <f aca="false">IF(AND(A64&lt;&gt;"",D64&gt;0.005),ROUND(D64-G64-H64-I64,2),"")</f>
        <v/>
      </c>
      <c r="L64" s="41" t="str">
        <f aca="false">IF(AND(A64&lt;&gt;"",D64&gt;0.005),L63+F64,"")</f>
        <v/>
      </c>
      <c r="M64" s="41" t="str">
        <f aca="false">IF(AND(A64&lt;&gt;"",D64&gt;0.005),M63+G64+H64+I64,"")</f>
        <v/>
      </c>
      <c r="N64" s="43" t="str">
        <f aca="false">IF(B64="","",YEAR(B64))</f>
        <v/>
      </c>
      <c r="O64" s="44" t="n">
        <f aca="false">IF(AND(A64&lt;&gt;"",D64&gt;0.005),J64,0)</f>
        <v>0</v>
      </c>
      <c r="P64" s="44" t="n">
        <f aca="false">R63</f>
        <v>0</v>
      </c>
      <c r="Q64" s="44" t="n">
        <f aca="false">IF(AND(P64&gt;0.005,57&lt;=NPer),ROUND(P64*RP,2),0)</f>
        <v>0</v>
      </c>
      <c r="R64" s="44" t="n">
        <f aca="false">IF(AND(P64&gt;0.005,57&lt;=NPer),ROUND(P64-IF(57&lt;=Grace,0,IF(57=NPer,P64,IF(Method="Equal principal (reducing payments)",MIN(ROUND(EqPrin,2),P64),MIN(ROUND(Annuity-Q64,2),P64)))),2),0)</f>
        <v>0</v>
      </c>
    </row>
    <row r="65" customFormat="false" ht="15" hidden="false" customHeight="false" outlineLevel="0" collapsed="false">
      <c r="A65" s="38" t="str">
        <f aca="false">IF(AND(N(K64)&gt;0.005,A64&lt;NPer),A64+1,"")</f>
        <v/>
      </c>
      <c r="B65" s="39" t="str">
        <f aca="false">IF(A65="","",EDATE(Disb,A65*MPP))</f>
        <v/>
      </c>
      <c r="C65" s="40" t="str">
        <f aca="false">IF(A65="","",IF(A65&lt;=Grace,"Grace","Repayment"))</f>
        <v/>
      </c>
      <c r="D65" s="41" t="str">
        <f aca="false">IF(A65="","",K64)</f>
        <v/>
      </c>
      <c r="E65" s="41" t="str">
        <f aca="false">IF(AND(A65&lt;&gt;"",D65&gt;0.005),F65+G65,"")</f>
        <v/>
      </c>
      <c r="F65" s="41" t="str">
        <f aca="false">IF(AND(A65&lt;&gt;"",D65&gt;0.005),ROUND(D65*RP,2),"")</f>
        <v/>
      </c>
      <c r="G65" s="41" t="str">
        <f aca="false">IF(AND(A65&lt;&gt;"",D65&gt;0.005),IF(A65&lt;=Grace,0,IF(A65=NPer,D65,IF(Method="Equal principal (reducing payments)",MIN(ROUND(EqPrin,2),D65),MIN(ROUND(Annuity-F65,2),D65)))),"")</f>
        <v/>
      </c>
      <c r="H65" s="41" t="str">
        <f aca="false">IF(AND(A65&lt;&gt;"",D65&gt;0.005),IF(A65&lt;=Grace,0,MIN(Extra,D65-G65)),"")</f>
        <v/>
      </c>
      <c r="I65" s="41" t="str">
        <f aca="false">IF(AND(A65&lt;&gt;"",D65&gt;0.005),MIN(SUMIF(LumpN,A65,LumpAmt),D65-G65-H65),"")</f>
        <v/>
      </c>
      <c r="J65" s="42" t="str">
        <f aca="false">IF(AND(A65&lt;&gt;"",D65&gt;0.005),E65+H65+I65,"")</f>
        <v/>
      </c>
      <c r="K65" s="42" t="str">
        <f aca="false">IF(AND(A65&lt;&gt;"",D65&gt;0.005),ROUND(D65-G65-H65-I65,2),"")</f>
        <v/>
      </c>
      <c r="L65" s="41" t="str">
        <f aca="false">IF(AND(A65&lt;&gt;"",D65&gt;0.005),L64+F65,"")</f>
        <v/>
      </c>
      <c r="M65" s="41" t="str">
        <f aca="false">IF(AND(A65&lt;&gt;"",D65&gt;0.005),M64+G65+H65+I65,"")</f>
        <v/>
      </c>
      <c r="N65" s="43" t="str">
        <f aca="false">IF(B65="","",YEAR(B65))</f>
        <v/>
      </c>
      <c r="O65" s="44" t="n">
        <f aca="false">IF(AND(A65&lt;&gt;"",D65&gt;0.005),J65,0)</f>
        <v>0</v>
      </c>
      <c r="P65" s="44" t="n">
        <f aca="false">R64</f>
        <v>0</v>
      </c>
      <c r="Q65" s="44" t="n">
        <f aca="false">IF(AND(P65&gt;0.005,58&lt;=NPer),ROUND(P65*RP,2),0)</f>
        <v>0</v>
      </c>
      <c r="R65" s="44" t="n">
        <f aca="false">IF(AND(P65&gt;0.005,58&lt;=NPer),ROUND(P65-IF(58&lt;=Grace,0,IF(58=NPer,P65,IF(Method="Equal principal (reducing payments)",MIN(ROUND(EqPrin,2),P65),MIN(ROUND(Annuity-Q65,2),P65)))),2),0)</f>
        <v>0</v>
      </c>
    </row>
    <row r="66" customFormat="false" ht="15" hidden="false" customHeight="false" outlineLevel="0" collapsed="false">
      <c r="A66" s="38" t="str">
        <f aca="false">IF(AND(N(K65)&gt;0.005,A65&lt;NPer),A65+1,"")</f>
        <v/>
      </c>
      <c r="B66" s="39" t="str">
        <f aca="false">IF(A66="","",EDATE(Disb,A66*MPP))</f>
        <v/>
      </c>
      <c r="C66" s="40" t="str">
        <f aca="false">IF(A66="","",IF(A66&lt;=Grace,"Grace","Repayment"))</f>
        <v/>
      </c>
      <c r="D66" s="41" t="str">
        <f aca="false">IF(A66="","",K65)</f>
        <v/>
      </c>
      <c r="E66" s="41" t="str">
        <f aca="false">IF(AND(A66&lt;&gt;"",D66&gt;0.005),F66+G66,"")</f>
        <v/>
      </c>
      <c r="F66" s="41" t="str">
        <f aca="false">IF(AND(A66&lt;&gt;"",D66&gt;0.005),ROUND(D66*RP,2),"")</f>
        <v/>
      </c>
      <c r="G66" s="41" t="str">
        <f aca="false">IF(AND(A66&lt;&gt;"",D66&gt;0.005),IF(A66&lt;=Grace,0,IF(A66=NPer,D66,IF(Method="Equal principal (reducing payments)",MIN(ROUND(EqPrin,2),D66),MIN(ROUND(Annuity-F66,2),D66)))),"")</f>
        <v/>
      </c>
      <c r="H66" s="41" t="str">
        <f aca="false">IF(AND(A66&lt;&gt;"",D66&gt;0.005),IF(A66&lt;=Grace,0,MIN(Extra,D66-G66)),"")</f>
        <v/>
      </c>
      <c r="I66" s="41" t="str">
        <f aca="false">IF(AND(A66&lt;&gt;"",D66&gt;0.005),MIN(SUMIF(LumpN,A66,LumpAmt),D66-G66-H66),"")</f>
        <v/>
      </c>
      <c r="J66" s="42" t="str">
        <f aca="false">IF(AND(A66&lt;&gt;"",D66&gt;0.005),E66+H66+I66,"")</f>
        <v/>
      </c>
      <c r="K66" s="42" t="str">
        <f aca="false">IF(AND(A66&lt;&gt;"",D66&gt;0.005),ROUND(D66-G66-H66-I66,2),"")</f>
        <v/>
      </c>
      <c r="L66" s="41" t="str">
        <f aca="false">IF(AND(A66&lt;&gt;"",D66&gt;0.005),L65+F66,"")</f>
        <v/>
      </c>
      <c r="M66" s="41" t="str">
        <f aca="false">IF(AND(A66&lt;&gt;"",D66&gt;0.005),M65+G66+H66+I66,"")</f>
        <v/>
      </c>
      <c r="N66" s="43" t="str">
        <f aca="false">IF(B66="","",YEAR(B66))</f>
        <v/>
      </c>
      <c r="O66" s="44" t="n">
        <f aca="false">IF(AND(A66&lt;&gt;"",D66&gt;0.005),J66,0)</f>
        <v>0</v>
      </c>
      <c r="P66" s="44" t="n">
        <f aca="false">R65</f>
        <v>0</v>
      </c>
      <c r="Q66" s="44" t="n">
        <f aca="false">IF(AND(P66&gt;0.005,59&lt;=NPer),ROUND(P66*RP,2),0)</f>
        <v>0</v>
      </c>
      <c r="R66" s="44" t="n">
        <f aca="false">IF(AND(P66&gt;0.005,59&lt;=NPer),ROUND(P66-IF(59&lt;=Grace,0,IF(59=NPer,P66,IF(Method="Equal principal (reducing payments)",MIN(ROUND(EqPrin,2),P66),MIN(ROUND(Annuity-Q66,2),P66)))),2),0)</f>
        <v>0</v>
      </c>
    </row>
    <row r="67" customFormat="false" ht="15" hidden="false" customHeight="false" outlineLevel="0" collapsed="false">
      <c r="A67" s="38" t="str">
        <f aca="false">IF(AND(N(K66)&gt;0.005,A66&lt;NPer),A66+1,"")</f>
        <v/>
      </c>
      <c r="B67" s="39" t="str">
        <f aca="false">IF(A67="","",EDATE(Disb,A67*MPP))</f>
        <v/>
      </c>
      <c r="C67" s="40" t="str">
        <f aca="false">IF(A67="","",IF(A67&lt;=Grace,"Grace","Repayment"))</f>
        <v/>
      </c>
      <c r="D67" s="41" t="str">
        <f aca="false">IF(A67="","",K66)</f>
        <v/>
      </c>
      <c r="E67" s="41" t="str">
        <f aca="false">IF(AND(A67&lt;&gt;"",D67&gt;0.005),F67+G67,"")</f>
        <v/>
      </c>
      <c r="F67" s="41" t="str">
        <f aca="false">IF(AND(A67&lt;&gt;"",D67&gt;0.005),ROUND(D67*RP,2),"")</f>
        <v/>
      </c>
      <c r="G67" s="41" t="str">
        <f aca="false">IF(AND(A67&lt;&gt;"",D67&gt;0.005),IF(A67&lt;=Grace,0,IF(A67=NPer,D67,IF(Method="Equal principal (reducing payments)",MIN(ROUND(EqPrin,2),D67),MIN(ROUND(Annuity-F67,2),D67)))),"")</f>
        <v/>
      </c>
      <c r="H67" s="41" t="str">
        <f aca="false">IF(AND(A67&lt;&gt;"",D67&gt;0.005),IF(A67&lt;=Grace,0,MIN(Extra,D67-G67)),"")</f>
        <v/>
      </c>
      <c r="I67" s="41" t="str">
        <f aca="false">IF(AND(A67&lt;&gt;"",D67&gt;0.005),MIN(SUMIF(LumpN,A67,LumpAmt),D67-G67-H67),"")</f>
        <v/>
      </c>
      <c r="J67" s="42" t="str">
        <f aca="false">IF(AND(A67&lt;&gt;"",D67&gt;0.005),E67+H67+I67,"")</f>
        <v/>
      </c>
      <c r="K67" s="42" t="str">
        <f aca="false">IF(AND(A67&lt;&gt;"",D67&gt;0.005),ROUND(D67-G67-H67-I67,2),"")</f>
        <v/>
      </c>
      <c r="L67" s="41" t="str">
        <f aca="false">IF(AND(A67&lt;&gt;"",D67&gt;0.005),L66+F67,"")</f>
        <v/>
      </c>
      <c r="M67" s="41" t="str">
        <f aca="false">IF(AND(A67&lt;&gt;"",D67&gt;0.005),M66+G67+H67+I67,"")</f>
        <v/>
      </c>
      <c r="N67" s="43" t="str">
        <f aca="false">IF(B67="","",YEAR(B67))</f>
        <v/>
      </c>
      <c r="O67" s="44" t="n">
        <f aca="false">IF(AND(A67&lt;&gt;"",D67&gt;0.005),J67,0)</f>
        <v>0</v>
      </c>
      <c r="P67" s="44" t="n">
        <f aca="false">R66</f>
        <v>0</v>
      </c>
      <c r="Q67" s="44" t="n">
        <f aca="false">IF(AND(P67&gt;0.005,60&lt;=NPer),ROUND(P67*RP,2),0)</f>
        <v>0</v>
      </c>
      <c r="R67" s="44" t="n">
        <f aca="false">IF(AND(P67&gt;0.005,60&lt;=NPer),ROUND(P67-IF(60&lt;=Grace,0,IF(60=NPer,P67,IF(Method="Equal principal (reducing payments)",MIN(ROUND(EqPrin,2),P67),MIN(ROUND(Annuity-Q67,2),P67)))),2),0)</f>
        <v>0</v>
      </c>
    </row>
    <row r="68" customFormat="false" ht="15" hidden="false" customHeight="false" outlineLevel="0" collapsed="false">
      <c r="A68" s="38" t="str">
        <f aca="false">IF(AND(N(K67)&gt;0.005,A67&lt;NPer),A67+1,"")</f>
        <v/>
      </c>
      <c r="B68" s="39" t="str">
        <f aca="false">IF(A68="","",EDATE(Disb,A68*MPP))</f>
        <v/>
      </c>
      <c r="C68" s="40" t="str">
        <f aca="false">IF(A68="","",IF(A68&lt;=Grace,"Grace","Repayment"))</f>
        <v/>
      </c>
      <c r="D68" s="41" t="str">
        <f aca="false">IF(A68="","",K67)</f>
        <v/>
      </c>
      <c r="E68" s="41" t="str">
        <f aca="false">IF(AND(A68&lt;&gt;"",D68&gt;0.005),F68+G68,"")</f>
        <v/>
      </c>
      <c r="F68" s="41" t="str">
        <f aca="false">IF(AND(A68&lt;&gt;"",D68&gt;0.005),ROUND(D68*RP,2),"")</f>
        <v/>
      </c>
      <c r="G68" s="41" t="str">
        <f aca="false">IF(AND(A68&lt;&gt;"",D68&gt;0.005),IF(A68&lt;=Grace,0,IF(A68=NPer,D68,IF(Method="Equal principal (reducing payments)",MIN(ROUND(EqPrin,2),D68),MIN(ROUND(Annuity-F68,2),D68)))),"")</f>
        <v/>
      </c>
      <c r="H68" s="41" t="str">
        <f aca="false">IF(AND(A68&lt;&gt;"",D68&gt;0.005),IF(A68&lt;=Grace,0,MIN(Extra,D68-G68)),"")</f>
        <v/>
      </c>
      <c r="I68" s="41" t="str">
        <f aca="false">IF(AND(A68&lt;&gt;"",D68&gt;0.005),MIN(SUMIF(LumpN,A68,LumpAmt),D68-G68-H68),"")</f>
        <v/>
      </c>
      <c r="J68" s="42" t="str">
        <f aca="false">IF(AND(A68&lt;&gt;"",D68&gt;0.005),E68+H68+I68,"")</f>
        <v/>
      </c>
      <c r="K68" s="42" t="str">
        <f aca="false">IF(AND(A68&lt;&gt;"",D68&gt;0.005),ROUND(D68-G68-H68-I68,2),"")</f>
        <v/>
      </c>
      <c r="L68" s="41" t="str">
        <f aca="false">IF(AND(A68&lt;&gt;"",D68&gt;0.005),L67+F68,"")</f>
        <v/>
      </c>
      <c r="M68" s="41" t="str">
        <f aca="false">IF(AND(A68&lt;&gt;"",D68&gt;0.005),M67+G68+H68+I68,"")</f>
        <v/>
      </c>
      <c r="N68" s="43" t="str">
        <f aca="false">IF(B68="","",YEAR(B68))</f>
        <v/>
      </c>
      <c r="O68" s="44" t="n">
        <f aca="false">IF(AND(A68&lt;&gt;"",D68&gt;0.005),J68,0)</f>
        <v>0</v>
      </c>
      <c r="P68" s="44" t="n">
        <f aca="false">R67</f>
        <v>0</v>
      </c>
      <c r="Q68" s="44" t="n">
        <f aca="false">IF(AND(P68&gt;0.005,61&lt;=NPer),ROUND(P68*RP,2),0)</f>
        <v>0</v>
      </c>
      <c r="R68" s="44" t="n">
        <f aca="false">IF(AND(P68&gt;0.005,61&lt;=NPer),ROUND(P68-IF(61&lt;=Grace,0,IF(61=NPer,P68,IF(Method="Equal principal (reducing payments)",MIN(ROUND(EqPrin,2),P68),MIN(ROUND(Annuity-Q68,2),P68)))),2),0)</f>
        <v>0</v>
      </c>
    </row>
    <row r="69" customFormat="false" ht="15" hidden="false" customHeight="false" outlineLevel="0" collapsed="false">
      <c r="A69" s="38" t="str">
        <f aca="false">IF(AND(N(K68)&gt;0.005,A68&lt;NPer),A68+1,"")</f>
        <v/>
      </c>
      <c r="B69" s="39" t="str">
        <f aca="false">IF(A69="","",EDATE(Disb,A69*MPP))</f>
        <v/>
      </c>
      <c r="C69" s="40" t="str">
        <f aca="false">IF(A69="","",IF(A69&lt;=Grace,"Grace","Repayment"))</f>
        <v/>
      </c>
      <c r="D69" s="41" t="str">
        <f aca="false">IF(A69="","",K68)</f>
        <v/>
      </c>
      <c r="E69" s="41" t="str">
        <f aca="false">IF(AND(A69&lt;&gt;"",D69&gt;0.005),F69+G69,"")</f>
        <v/>
      </c>
      <c r="F69" s="41" t="str">
        <f aca="false">IF(AND(A69&lt;&gt;"",D69&gt;0.005),ROUND(D69*RP,2),"")</f>
        <v/>
      </c>
      <c r="G69" s="41" t="str">
        <f aca="false">IF(AND(A69&lt;&gt;"",D69&gt;0.005),IF(A69&lt;=Grace,0,IF(A69=NPer,D69,IF(Method="Equal principal (reducing payments)",MIN(ROUND(EqPrin,2),D69),MIN(ROUND(Annuity-F69,2),D69)))),"")</f>
        <v/>
      </c>
      <c r="H69" s="41" t="str">
        <f aca="false">IF(AND(A69&lt;&gt;"",D69&gt;0.005),IF(A69&lt;=Grace,0,MIN(Extra,D69-G69)),"")</f>
        <v/>
      </c>
      <c r="I69" s="41" t="str">
        <f aca="false">IF(AND(A69&lt;&gt;"",D69&gt;0.005),MIN(SUMIF(LumpN,A69,LumpAmt),D69-G69-H69),"")</f>
        <v/>
      </c>
      <c r="J69" s="42" t="str">
        <f aca="false">IF(AND(A69&lt;&gt;"",D69&gt;0.005),E69+H69+I69,"")</f>
        <v/>
      </c>
      <c r="K69" s="42" t="str">
        <f aca="false">IF(AND(A69&lt;&gt;"",D69&gt;0.005),ROUND(D69-G69-H69-I69,2),"")</f>
        <v/>
      </c>
      <c r="L69" s="41" t="str">
        <f aca="false">IF(AND(A69&lt;&gt;"",D69&gt;0.005),L68+F69,"")</f>
        <v/>
      </c>
      <c r="M69" s="41" t="str">
        <f aca="false">IF(AND(A69&lt;&gt;"",D69&gt;0.005),M68+G69+H69+I69,"")</f>
        <v/>
      </c>
      <c r="N69" s="43" t="str">
        <f aca="false">IF(B69="","",YEAR(B69))</f>
        <v/>
      </c>
      <c r="O69" s="44" t="n">
        <f aca="false">IF(AND(A69&lt;&gt;"",D69&gt;0.005),J69,0)</f>
        <v>0</v>
      </c>
      <c r="P69" s="44" t="n">
        <f aca="false">R68</f>
        <v>0</v>
      </c>
      <c r="Q69" s="44" t="n">
        <f aca="false">IF(AND(P69&gt;0.005,62&lt;=NPer),ROUND(P69*RP,2),0)</f>
        <v>0</v>
      </c>
      <c r="R69" s="44" t="n">
        <f aca="false">IF(AND(P69&gt;0.005,62&lt;=NPer),ROUND(P69-IF(62&lt;=Grace,0,IF(62=NPer,P69,IF(Method="Equal principal (reducing payments)",MIN(ROUND(EqPrin,2),P69),MIN(ROUND(Annuity-Q69,2),P69)))),2),0)</f>
        <v>0</v>
      </c>
    </row>
    <row r="70" customFormat="false" ht="15" hidden="false" customHeight="false" outlineLevel="0" collapsed="false">
      <c r="A70" s="38" t="str">
        <f aca="false">IF(AND(N(K69)&gt;0.005,A69&lt;NPer),A69+1,"")</f>
        <v/>
      </c>
      <c r="B70" s="39" t="str">
        <f aca="false">IF(A70="","",EDATE(Disb,A70*MPP))</f>
        <v/>
      </c>
      <c r="C70" s="40" t="str">
        <f aca="false">IF(A70="","",IF(A70&lt;=Grace,"Grace","Repayment"))</f>
        <v/>
      </c>
      <c r="D70" s="41" t="str">
        <f aca="false">IF(A70="","",K69)</f>
        <v/>
      </c>
      <c r="E70" s="41" t="str">
        <f aca="false">IF(AND(A70&lt;&gt;"",D70&gt;0.005),F70+G70,"")</f>
        <v/>
      </c>
      <c r="F70" s="41" t="str">
        <f aca="false">IF(AND(A70&lt;&gt;"",D70&gt;0.005),ROUND(D70*RP,2),"")</f>
        <v/>
      </c>
      <c r="G70" s="41" t="str">
        <f aca="false">IF(AND(A70&lt;&gt;"",D70&gt;0.005),IF(A70&lt;=Grace,0,IF(A70=NPer,D70,IF(Method="Equal principal (reducing payments)",MIN(ROUND(EqPrin,2),D70),MIN(ROUND(Annuity-F70,2),D70)))),"")</f>
        <v/>
      </c>
      <c r="H70" s="41" t="str">
        <f aca="false">IF(AND(A70&lt;&gt;"",D70&gt;0.005),IF(A70&lt;=Grace,0,MIN(Extra,D70-G70)),"")</f>
        <v/>
      </c>
      <c r="I70" s="41" t="str">
        <f aca="false">IF(AND(A70&lt;&gt;"",D70&gt;0.005),MIN(SUMIF(LumpN,A70,LumpAmt),D70-G70-H70),"")</f>
        <v/>
      </c>
      <c r="J70" s="42" t="str">
        <f aca="false">IF(AND(A70&lt;&gt;"",D70&gt;0.005),E70+H70+I70,"")</f>
        <v/>
      </c>
      <c r="K70" s="42" t="str">
        <f aca="false">IF(AND(A70&lt;&gt;"",D70&gt;0.005),ROUND(D70-G70-H70-I70,2),"")</f>
        <v/>
      </c>
      <c r="L70" s="41" t="str">
        <f aca="false">IF(AND(A70&lt;&gt;"",D70&gt;0.005),L69+F70,"")</f>
        <v/>
      </c>
      <c r="M70" s="41" t="str">
        <f aca="false">IF(AND(A70&lt;&gt;"",D70&gt;0.005),M69+G70+H70+I70,"")</f>
        <v/>
      </c>
      <c r="N70" s="43" t="str">
        <f aca="false">IF(B70="","",YEAR(B70))</f>
        <v/>
      </c>
      <c r="O70" s="44" t="n">
        <f aca="false">IF(AND(A70&lt;&gt;"",D70&gt;0.005),J70,0)</f>
        <v>0</v>
      </c>
      <c r="P70" s="44" t="n">
        <f aca="false">R69</f>
        <v>0</v>
      </c>
      <c r="Q70" s="44" t="n">
        <f aca="false">IF(AND(P70&gt;0.005,63&lt;=NPer),ROUND(P70*RP,2),0)</f>
        <v>0</v>
      </c>
      <c r="R70" s="44" t="n">
        <f aca="false">IF(AND(P70&gt;0.005,63&lt;=NPer),ROUND(P70-IF(63&lt;=Grace,0,IF(63=NPer,P70,IF(Method="Equal principal (reducing payments)",MIN(ROUND(EqPrin,2),P70),MIN(ROUND(Annuity-Q70,2),P70)))),2),0)</f>
        <v>0</v>
      </c>
    </row>
    <row r="71" customFormat="false" ht="15" hidden="false" customHeight="false" outlineLevel="0" collapsed="false">
      <c r="A71" s="38" t="str">
        <f aca="false">IF(AND(N(K70)&gt;0.005,A70&lt;NPer),A70+1,"")</f>
        <v/>
      </c>
      <c r="B71" s="39" t="str">
        <f aca="false">IF(A71="","",EDATE(Disb,A71*MPP))</f>
        <v/>
      </c>
      <c r="C71" s="40" t="str">
        <f aca="false">IF(A71="","",IF(A71&lt;=Grace,"Grace","Repayment"))</f>
        <v/>
      </c>
      <c r="D71" s="41" t="str">
        <f aca="false">IF(A71="","",K70)</f>
        <v/>
      </c>
      <c r="E71" s="41" t="str">
        <f aca="false">IF(AND(A71&lt;&gt;"",D71&gt;0.005),F71+G71,"")</f>
        <v/>
      </c>
      <c r="F71" s="41" t="str">
        <f aca="false">IF(AND(A71&lt;&gt;"",D71&gt;0.005),ROUND(D71*RP,2),"")</f>
        <v/>
      </c>
      <c r="G71" s="41" t="str">
        <f aca="false">IF(AND(A71&lt;&gt;"",D71&gt;0.005),IF(A71&lt;=Grace,0,IF(A71=NPer,D71,IF(Method="Equal principal (reducing payments)",MIN(ROUND(EqPrin,2),D71),MIN(ROUND(Annuity-F71,2),D71)))),"")</f>
        <v/>
      </c>
      <c r="H71" s="41" t="str">
        <f aca="false">IF(AND(A71&lt;&gt;"",D71&gt;0.005),IF(A71&lt;=Grace,0,MIN(Extra,D71-G71)),"")</f>
        <v/>
      </c>
      <c r="I71" s="41" t="str">
        <f aca="false">IF(AND(A71&lt;&gt;"",D71&gt;0.005),MIN(SUMIF(LumpN,A71,LumpAmt),D71-G71-H71),"")</f>
        <v/>
      </c>
      <c r="J71" s="42" t="str">
        <f aca="false">IF(AND(A71&lt;&gt;"",D71&gt;0.005),E71+H71+I71,"")</f>
        <v/>
      </c>
      <c r="K71" s="42" t="str">
        <f aca="false">IF(AND(A71&lt;&gt;"",D71&gt;0.005),ROUND(D71-G71-H71-I71,2),"")</f>
        <v/>
      </c>
      <c r="L71" s="41" t="str">
        <f aca="false">IF(AND(A71&lt;&gt;"",D71&gt;0.005),L70+F71,"")</f>
        <v/>
      </c>
      <c r="M71" s="41" t="str">
        <f aca="false">IF(AND(A71&lt;&gt;"",D71&gt;0.005),M70+G71+H71+I71,"")</f>
        <v/>
      </c>
      <c r="N71" s="43" t="str">
        <f aca="false">IF(B71="","",YEAR(B71))</f>
        <v/>
      </c>
      <c r="O71" s="44" t="n">
        <f aca="false">IF(AND(A71&lt;&gt;"",D71&gt;0.005),J71,0)</f>
        <v>0</v>
      </c>
      <c r="P71" s="44" t="n">
        <f aca="false">R70</f>
        <v>0</v>
      </c>
      <c r="Q71" s="44" t="n">
        <f aca="false">IF(AND(P71&gt;0.005,64&lt;=NPer),ROUND(P71*RP,2),0)</f>
        <v>0</v>
      </c>
      <c r="R71" s="44" t="n">
        <f aca="false">IF(AND(P71&gt;0.005,64&lt;=NPer),ROUND(P71-IF(64&lt;=Grace,0,IF(64=NPer,P71,IF(Method="Equal principal (reducing payments)",MIN(ROUND(EqPrin,2),P71),MIN(ROUND(Annuity-Q71,2),P71)))),2),0)</f>
        <v>0</v>
      </c>
    </row>
    <row r="72" customFormat="false" ht="15" hidden="false" customHeight="false" outlineLevel="0" collapsed="false">
      <c r="A72" s="38" t="str">
        <f aca="false">IF(AND(N(K71)&gt;0.005,A71&lt;NPer),A71+1,"")</f>
        <v/>
      </c>
      <c r="B72" s="39" t="str">
        <f aca="false">IF(A72="","",EDATE(Disb,A72*MPP))</f>
        <v/>
      </c>
      <c r="C72" s="40" t="str">
        <f aca="false">IF(A72="","",IF(A72&lt;=Grace,"Grace","Repayment"))</f>
        <v/>
      </c>
      <c r="D72" s="41" t="str">
        <f aca="false">IF(A72="","",K71)</f>
        <v/>
      </c>
      <c r="E72" s="41" t="str">
        <f aca="false">IF(AND(A72&lt;&gt;"",D72&gt;0.005),F72+G72,"")</f>
        <v/>
      </c>
      <c r="F72" s="41" t="str">
        <f aca="false">IF(AND(A72&lt;&gt;"",D72&gt;0.005),ROUND(D72*RP,2),"")</f>
        <v/>
      </c>
      <c r="G72" s="41" t="str">
        <f aca="false">IF(AND(A72&lt;&gt;"",D72&gt;0.005),IF(A72&lt;=Grace,0,IF(A72=NPer,D72,IF(Method="Equal principal (reducing payments)",MIN(ROUND(EqPrin,2),D72),MIN(ROUND(Annuity-F72,2),D72)))),"")</f>
        <v/>
      </c>
      <c r="H72" s="41" t="str">
        <f aca="false">IF(AND(A72&lt;&gt;"",D72&gt;0.005),IF(A72&lt;=Grace,0,MIN(Extra,D72-G72)),"")</f>
        <v/>
      </c>
      <c r="I72" s="41" t="str">
        <f aca="false">IF(AND(A72&lt;&gt;"",D72&gt;0.005),MIN(SUMIF(LumpN,A72,LumpAmt),D72-G72-H72),"")</f>
        <v/>
      </c>
      <c r="J72" s="42" t="str">
        <f aca="false">IF(AND(A72&lt;&gt;"",D72&gt;0.005),E72+H72+I72,"")</f>
        <v/>
      </c>
      <c r="K72" s="42" t="str">
        <f aca="false">IF(AND(A72&lt;&gt;"",D72&gt;0.005),ROUND(D72-G72-H72-I72,2),"")</f>
        <v/>
      </c>
      <c r="L72" s="41" t="str">
        <f aca="false">IF(AND(A72&lt;&gt;"",D72&gt;0.005),L71+F72,"")</f>
        <v/>
      </c>
      <c r="M72" s="41" t="str">
        <f aca="false">IF(AND(A72&lt;&gt;"",D72&gt;0.005),M71+G72+H72+I72,"")</f>
        <v/>
      </c>
      <c r="N72" s="43" t="str">
        <f aca="false">IF(B72="","",YEAR(B72))</f>
        <v/>
      </c>
      <c r="O72" s="44" t="n">
        <f aca="false">IF(AND(A72&lt;&gt;"",D72&gt;0.005),J72,0)</f>
        <v>0</v>
      </c>
      <c r="P72" s="44" t="n">
        <f aca="false">R71</f>
        <v>0</v>
      </c>
      <c r="Q72" s="44" t="n">
        <f aca="false">IF(AND(P72&gt;0.005,65&lt;=NPer),ROUND(P72*RP,2),0)</f>
        <v>0</v>
      </c>
      <c r="R72" s="44" t="n">
        <f aca="false">IF(AND(P72&gt;0.005,65&lt;=NPer),ROUND(P72-IF(65&lt;=Grace,0,IF(65=NPer,P72,IF(Method="Equal principal (reducing payments)",MIN(ROUND(EqPrin,2),P72),MIN(ROUND(Annuity-Q72,2),P72)))),2),0)</f>
        <v>0</v>
      </c>
    </row>
    <row r="73" customFormat="false" ht="15" hidden="false" customHeight="false" outlineLevel="0" collapsed="false">
      <c r="A73" s="38" t="str">
        <f aca="false">IF(AND(N(K72)&gt;0.005,A72&lt;NPer),A72+1,"")</f>
        <v/>
      </c>
      <c r="B73" s="39" t="str">
        <f aca="false">IF(A73="","",EDATE(Disb,A73*MPP))</f>
        <v/>
      </c>
      <c r="C73" s="40" t="str">
        <f aca="false">IF(A73="","",IF(A73&lt;=Grace,"Grace","Repayment"))</f>
        <v/>
      </c>
      <c r="D73" s="41" t="str">
        <f aca="false">IF(A73="","",K72)</f>
        <v/>
      </c>
      <c r="E73" s="41" t="str">
        <f aca="false">IF(AND(A73&lt;&gt;"",D73&gt;0.005),F73+G73,"")</f>
        <v/>
      </c>
      <c r="F73" s="41" t="str">
        <f aca="false">IF(AND(A73&lt;&gt;"",D73&gt;0.005),ROUND(D73*RP,2),"")</f>
        <v/>
      </c>
      <c r="G73" s="41" t="str">
        <f aca="false">IF(AND(A73&lt;&gt;"",D73&gt;0.005),IF(A73&lt;=Grace,0,IF(A73=NPer,D73,IF(Method="Equal principal (reducing payments)",MIN(ROUND(EqPrin,2),D73),MIN(ROUND(Annuity-F73,2),D73)))),"")</f>
        <v/>
      </c>
      <c r="H73" s="41" t="str">
        <f aca="false">IF(AND(A73&lt;&gt;"",D73&gt;0.005),IF(A73&lt;=Grace,0,MIN(Extra,D73-G73)),"")</f>
        <v/>
      </c>
      <c r="I73" s="41" t="str">
        <f aca="false">IF(AND(A73&lt;&gt;"",D73&gt;0.005),MIN(SUMIF(LumpN,A73,LumpAmt),D73-G73-H73),"")</f>
        <v/>
      </c>
      <c r="J73" s="42" t="str">
        <f aca="false">IF(AND(A73&lt;&gt;"",D73&gt;0.005),E73+H73+I73,"")</f>
        <v/>
      </c>
      <c r="K73" s="42" t="str">
        <f aca="false">IF(AND(A73&lt;&gt;"",D73&gt;0.005),ROUND(D73-G73-H73-I73,2),"")</f>
        <v/>
      </c>
      <c r="L73" s="41" t="str">
        <f aca="false">IF(AND(A73&lt;&gt;"",D73&gt;0.005),L72+F73,"")</f>
        <v/>
      </c>
      <c r="M73" s="41" t="str">
        <f aca="false">IF(AND(A73&lt;&gt;"",D73&gt;0.005),M72+G73+H73+I73,"")</f>
        <v/>
      </c>
      <c r="N73" s="43" t="str">
        <f aca="false">IF(B73="","",YEAR(B73))</f>
        <v/>
      </c>
      <c r="O73" s="44" t="n">
        <f aca="false">IF(AND(A73&lt;&gt;"",D73&gt;0.005),J73,0)</f>
        <v>0</v>
      </c>
      <c r="P73" s="44" t="n">
        <f aca="false">R72</f>
        <v>0</v>
      </c>
      <c r="Q73" s="44" t="n">
        <f aca="false">IF(AND(P73&gt;0.005,66&lt;=NPer),ROUND(P73*RP,2),0)</f>
        <v>0</v>
      </c>
      <c r="R73" s="44" t="n">
        <f aca="false">IF(AND(P73&gt;0.005,66&lt;=NPer),ROUND(P73-IF(66&lt;=Grace,0,IF(66=NPer,P73,IF(Method="Equal principal (reducing payments)",MIN(ROUND(EqPrin,2),P73),MIN(ROUND(Annuity-Q73,2),P73)))),2),0)</f>
        <v>0</v>
      </c>
    </row>
    <row r="74" customFormat="false" ht="15" hidden="false" customHeight="false" outlineLevel="0" collapsed="false">
      <c r="A74" s="38" t="str">
        <f aca="false">IF(AND(N(K73)&gt;0.005,A73&lt;NPer),A73+1,"")</f>
        <v/>
      </c>
      <c r="B74" s="39" t="str">
        <f aca="false">IF(A74="","",EDATE(Disb,A74*MPP))</f>
        <v/>
      </c>
      <c r="C74" s="40" t="str">
        <f aca="false">IF(A74="","",IF(A74&lt;=Grace,"Grace","Repayment"))</f>
        <v/>
      </c>
      <c r="D74" s="41" t="str">
        <f aca="false">IF(A74="","",K73)</f>
        <v/>
      </c>
      <c r="E74" s="41" t="str">
        <f aca="false">IF(AND(A74&lt;&gt;"",D74&gt;0.005),F74+G74,"")</f>
        <v/>
      </c>
      <c r="F74" s="41" t="str">
        <f aca="false">IF(AND(A74&lt;&gt;"",D74&gt;0.005),ROUND(D74*RP,2),"")</f>
        <v/>
      </c>
      <c r="G74" s="41" t="str">
        <f aca="false">IF(AND(A74&lt;&gt;"",D74&gt;0.005),IF(A74&lt;=Grace,0,IF(A74=NPer,D74,IF(Method="Equal principal (reducing payments)",MIN(ROUND(EqPrin,2),D74),MIN(ROUND(Annuity-F74,2),D74)))),"")</f>
        <v/>
      </c>
      <c r="H74" s="41" t="str">
        <f aca="false">IF(AND(A74&lt;&gt;"",D74&gt;0.005),IF(A74&lt;=Grace,0,MIN(Extra,D74-G74)),"")</f>
        <v/>
      </c>
      <c r="I74" s="41" t="str">
        <f aca="false">IF(AND(A74&lt;&gt;"",D74&gt;0.005),MIN(SUMIF(LumpN,A74,LumpAmt),D74-G74-H74),"")</f>
        <v/>
      </c>
      <c r="J74" s="42" t="str">
        <f aca="false">IF(AND(A74&lt;&gt;"",D74&gt;0.005),E74+H74+I74,"")</f>
        <v/>
      </c>
      <c r="K74" s="42" t="str">
        <f aca="false">IF(AND(A74&lt;&gt;"",D74&gt;0.005),ROUND(D74-G74-H74-I74,2),"")</f>
        <v/>
      </c>
      <c r="L74" s="41" t="str">
        <f aca="false">IF(AND(A74&lt;&gt;"",D74&gt;0.005),L73+F74,"")</f>
        <v/>
      </c>
      <c r="M74" s="41" t="str">
        <f aca="false">IF(AND(A74&lt;&gt;"",D74&gt;0.005),M73+G74+H74+I74,"")</f>
        <v/>
      </c>
      <c r="N74" s="43" t="str">
        <f aca="false">IF(B74="","",YEAR(B74))</f>
        <v/>
      </c>
      <c r="O74" s="44" t="n">
        <f aca="false">IF(AND(A74&lt;&gt;"",D74&gt;0.005),J74,0)</f>
        <v>0</v>
      </c>
      <c r="P74" s="44" t="n">
        <f aca="false">R73</f>
        <v>0</v>
      </c>
      <c r="Q74" s="44" t="n">
        <f aca="false">IF(AND(P74&gt;0.005,67&lt;=NPer),ROUND(P74*RP,2),0)</f>
        <v>0</v>
      </c>
      <c r="R74" s="44" t="n">
        <f aca="false">IF(AND(P74&gt;0.005,67&lt;=NPer),ROUND(P74-IF(67&lt;=Grace,0,IF(67=NPer,P74,IF(Method="Equal principal (reducing payments)",MIN(ROUND(EqPrin,2),P74),MIN(ROUND(Annuity-Q74,2),P74)))),2),0)</f>
        <v>0</v>
      </c>
    </row>
    <row r="75" customFormat="false" ht="15" hidden="false" customHeight="false" outlineLevel="0" collapsed="false">
      <c r="A75" s="38" t="str">
        <f aca="false">IF(AND(N(K74)&gt;0.005,A74&lt;NPer),A74+1,"")</f>
        <v/>
      </c>
      <c r="B75" s="39" t="str">
        <f aca="false">IF(A75="","",EDATE(Disb,A75*MPP))</f>
        <v/>
      </c>
      <c r="C75" s="40" t="str">
        <f aca="false">IF(A75="","",IF(A75&lt;=Grace,"Grace","Repayment"))</f>
        <v/>
      </c>
      <c r="D75" s="41" t="str">
        <f aca="false">IF(A75="","",K74)</f>
        <v/>
      </c>
      <c r="E75" s="41" t="str">
        <f aca="false">IF(AND(A75&lt;&gt;"",D75&gt;0.005),F75+G75,"")</f>
        <v/>
      </c>
      <c r="F75" s="41" t="str">
        <f aca="false">IF(AND(A75&lt;&gt;"",D75&gt;0.005),ROUND(D75*RP,2),"")</f>
        <v/>
      </c>
      <c r="G75" s="41" t="str">
        <f aca="false">IF(AND(A75&lt;&gt;"",D75&gt;0.005),IF(A75&lt;=Grace,0,IF(A75=NPer,D75,IF(Method="Equal principal (reducing payments)",MIN(ROUND(EqPrin,2),D75),MIN(ROUND(Annuity-F75,2),D75)))),"")</f>
        <v/>
      </c>
      <c r="H75" s="41" t="str">
        <f aca="false">IF(AND(A75&lt;&gt;"",D75&gt;0.005),IF(A75&lt;=Grace,0,MIN(Extra,D75-G75)),"")</f>
        <v/>
      </c>
      <c r="I75" s="41" t="str">
        <f aca="false">IF(AND(A75&lt;&gt;"",D75&gt;0.005),MIN(SUMIF(LumpN,A75,LumpAmt),D75-G75-H75),"")</f>
        <v/>
      </c>
      <c r="J75" s="42" t="str">
        <f aca="false">IF(AND(A75&lt;&gt;"",D75&gt;0.005),E75+H75+I75,"")</f>
        <v/>
      </c>
      <c r="K75" s="42" t="str">
        <f aca="false">IF(AND(A75&lt;&gt;"",D75&gt;0.005),ROUND(D75-G75-H75-I75,2),"")</f>
        <v/>
      </c>
      <c r="L75" s="41" t="str">
        <f aca="false">IF(AND(A75&lt;&gt;"",D75&gt;0.005),L74+F75,"")</f>
        <v/>
      </c>
      <c r="M75" s="41" t="str">
        <f aca="false">IF(AND(A75&lt;&gt;"",D75&gt;0.005),M74+G75+H75+I75,"")</f>
        <v/>
      </c>
      <c r="N75" s="43" t="str">
        <f aca="false">IF(B75="","",YEAR(B75))</f>
        <v/>
      </c>
      <c r="O75" s="44" t="n">
        <f aca="false">IF(AND(A75&lt;&gt;"",D75&gt;0.005),J75,0)</f>
        <v>0</v>
      </c>
      <c r="P75" s="44" t="n">
        <f aca="false">R74</f>
        <v>0</v>
      </c>
      <c r="Q75" s="44" t="n">
        <f aca="false">IF(AND(P75&gt;0.005,68&lt;=NPer),ROUND(P75*RP,2),0)</f>
        <v>0</v>
      </c>
      <c r="R75" s="44" t="n">
        <f aca="false">IF(AND(P75&gt;0.005,68&lt;=NPer),ROUND(P75-IF(68&lt;=Grace,0,IF(68=NPer,P75,IF(Method="Equal principal (reducing payments)",MIN(ROUND(EqPrin,2),P75),MIN(ROUND(Annuity-Q75,2),P75)))),2),0)</f>
        <v>0</v>
      </c>
    </row>
    <row r="76" customFormat="false" ht="15" hidden="false" customHeight="false" outlineLevel="0" collapsed="false">
      <c r="A76" s="38" t="str">
        <f aca="false">IF(AND(N(K75)&gt;0.005,A75&lt;NPer),A75+1,"")</f>
        <v/>
      </c>
      <c r="B76" s="39" t="str">
        <f aca="false">IF(A76="","",EDATE(Disb,A76*MPP))</f>
        <v/>
      </c>
      <c r="C76" s="40" t="str">
        <f aca="false">IF(A76="","",IF(A76&lt;=Grace,"Grace","Repayment"))</f>
        <v/>
      </c>
      <c r="D76" s="41" t="str">
        <f aca="false">IF(A76="","",K75)</f>
        <v/>
      </c>
      <c r="E76" s="41" t="str">
        <f aca="false">IF(AND(A76&lt;&gt;"",D76&gt;0.005),F76+G76,"")</f>
        <v/>
      </c>
      <c r="F76" s="41" t="str">
        <f aca="false">IF(AND(A76&lt;&gt;"",D76&gt;0.005),ROUND(D76*RP,2),"")</f>
        <v/>
      </c>
      <c r="G76" s="41" t="str">
        <f aca="false">IF(AND(A76&lt;&gt;"",D76&gt;0.005),IF(A76&lt;=Grace,0,IF(A76=NPer,D76,IF(Method="Equal principal (reducing payments)",MIN(ROUND(EqPrin,2),D76),MIN(ROUND(Annuity-F76,2),D76)))),"")</f>
        <v/>
      </c>
      <c r="H76" s="41" t="str">
        <f aca="false">IF(AND(A76&lt;&gt;"",D76&gt;0.005),IF(A76&lt;=Grace,0,MIN(Extra,D76-G76)),"")</f>
        <v/>
      </c>
      <c r="I76" s="41" t="str">
        <f aca="false">IF(AND(A76&lt;&gt;"",D76&gt;0.005),MIN(SUMIF(LumpN,A76,LumpAmt),D76-G76-H76),"")</f>
        <v/>
      </c>
      <c r="J76" s="42" t="str">
        <f aca="false">IF(AND(A76&lt;&gt;"",D76&gt;0.005),E76+H76+I76,"")</f>
        <v/>
      </c>
      <c r="K76" s="42" t="str">
        <f aca="false">IF(AND(A76&lt;&gt;"",D76&gt;0.005),ROUND(D76-G76-H76-I76,2),"")</f>
        <v/>
      </c>
      <c r="L76" s="41" t="str">
        <f aca="false">IF(AND(A76&lt;&gt;"",D76&gt;0.005),L75+F76,"")</f>
        <v/>
      </c>
      <c r="M76" s="41" t="str">
        <f aca="false">IF(AND(A76&lt;&gt;"",D76&gt;0.005),M75+G76+H76+I76,"")</f>
        <v/>
      </c>
      <c r="N76" s="43" t="str">
        <f aca="false">IF(B76="","",YEAR(B76))</f>
        <v/>
      </c>
      <c r="O76" s="44" t="n">
        <f aca="false">IF(AND(A76&lt;&gt;"",D76&gt;0.005),J76,0)</f>
        <v>0</v>
      </c>
      <c r="P76" s="44" t="n">
        <f aca="false">R75</f>
        <v>0</v>
      </c>
      <c r="Q76" s="44" t="n">
        <f aca="false">IF(AND(P76&gt;0.005,69&lt;=NPer),ROUND(P76*RP,2),0)</f>
        <v>0</v>
      </c>
      <c r="R76" s="44" t="n">
        <f aca="false">IF(AND(P76&gt;0.005,69&lt;=NPer),ROUND(P76-IF(69&lt;=Grace,0,IF(69=NPer,P76,IF(Method="Equal principal (reducing payments)",MIN(ROUND(EqPrin,2),P76),MIN(ROUND(Annuity-Q76,2),P76)))),2),0)</f>
        <v>0</v>
      </c>
    </row>
    <row r="77" customFormat="false" ht="15" hidden="false" customHeight="false" outlineLevel="0" collapsed="false">
      <c r="A77" s="38" t="str">
        <f aca="false">IF(AND(N(K76)&gt;0.005,A76&lt;NPer),A76+1,"")</f>
        <v/>
      </c>
      <c r="B77" s="39" t="str">
        <f aca="false">IF(A77="","",EDATE(Disb,A77*MPP))</f>
        <v/>
      </c>
      <c r="C77" s="40" t="str">
        <f aca="false">IF(A77="","",IF(A77&lt;=Grace,"Grace","Repayment"))</f>
        <v/>
      </c>
      <c r="D77" s="41" t="str">
        <f aca="false">IF(A77="","",K76)</f>
        <v/>
      </c>
      <c r="E77" s="41" t="str">
        <f aca="false">IF(AND(A77&lt;&gt;"",D77&gt;0.005),F77+G77,"")</f>
        <v/>
      </c>
      <c r="F77" s="41" t="str">
        <f aca="false">IF(AND(A77&lt;&gt;"",D77&gt;0.005),ROUND(D77*RP,2),"")</f>
        <v/>
      </c>
      <c r="G77" s="41" t="str">
        <f aca="false">IF(AND(A77&lt;&gt;"",D77&gt;0.005),IF(A77&lt;=Grace,0,IF(A77=NPer,D77,IF(Method="Equal principal (reducing payments)",MIN(ROUND(EqPrin,2),D77),MIN(ROUND(Annuity-F77,2),D77)))),"")</f>
        <v/>
      </c>
      <c r="H77" s="41" t="str">
        <f aca="false">IF(AND(A77&lt;&gt;"",D77&gt;0.005),IF(A77&lt;=Grace,0,MIN(Extra,D77-G77)),"")</f>
        <v/>
      </c>
      <c r="I77" s="41" t="str">
        <f aca="false">IF(AND(A77&lt;&gt;"",D77&gt;0.005),MIN(SUMIF(LumpN,A77,LumpAmt),D77-G77-H77),"")</f>
        <v/>
      </c>
      <c r="J77" s="42" t="str">
        <f aca="false">IF(AND(A77&lt;&gt;"",D77&gt;0.005),E77+H77+I77,"")</f>
        <v/>
      </c>
      <c r="K77" s="42" t="str">
        <f aca="false">IF(AND(A77&lt;&gt;"",D77&gt;0.005),ROUND(D77-G77-H77-I77,2),"")</f>
        <v/>
      </c>
      <c r="L77" s="41" t="str">
        <f aca="false">IF(AND(A77&lt;&gt;"",D77&gt;0.005),L76+F77,"")</f>
        <v/>
      </c>
      <c r="M77" s="41" t="str">
        <f aca="false">IF(AND(A77&lt;&gt;"",D77&gt;0.005),M76+G77+H77+I77,"")</f>
        <v/>
      </c>
      <c r="N77" s="43" t="str">
        <f aca="false">IF(B77="","",YEAR(B77))</f>
        <v/>
      </c>
      <c r="O77" s="44" t="n">
        <f aca="false">IF(AND(A77&lt;&gt;"",D77&gt;0.005),J77,0)</f>
        <v>0</v>
      </c>
      <c r="P77" s="44" t="n">
        <f aca="false">R76</f>
        <v>0</v>
      </c>
      <c r="Q77" s="44" t="n">
        <f aca="false">IF(AND(P77&gt;0.005,70&lt;=NPer),ROUND(P77*RP,2),0)</f>
        <v>0</v>
      </c>
      <c r="R77" s="44" t="n">
        <f aca="false">IF(AND(P77&gt;0.005,70&lt;=NPer),ROUND(P77-IF(70&lt;=Grace,0,IF(70=NPer,P77,IF(Method="Equal principal (reducing payments)",MIN(ROUND(EqPrin,2),P77),MIN(ROUND(Annuity-Q77,2),P77)))),2),0)</f>
        <v>0</v>
      </c>
    </row>
    <row r="78" customFormat="false" ht="15" hidden="false" customHeight="false" outlineLevel="0" collapsed="false">
      <c r="A78" s="38" t="str">
        <f aca="false">IF(AND(N(K77)&gt;0.005,A77&lt;NPer),A77+1,"")</f>
        <v/>
      </c>
      <c r="B78" s="39" t="str">
        <f aca="false">IF(A78="","",EDATE(Disb,A78*MPP))</f>
        <v/>
      </c>
      <c r="C78" s="40" t="str">
        <f aca="false">IF(A78="","",IF(A78&lt;=Grace,"Grace","Repayment"))</f>
        <v/>
      </c>
      <c r="D78" s="41" t="str">
        <f aca="false">IF(A78="","",K77)</f>
        <v/>
      </c>
      <c r="E78" s="41" t="str">
        <f aca="false">IF(AND(A78&lt;&gt;"",D78&gt;0.005),F78+G78,"")</f>
        <v/>
      </c>
      <c r="F78" s="41" t="str">
        <f aca="false">IF(AND(A78&lt;&gt;"",D78&gt;0.005),ROUND(D78*RP,2),"")</f>
        <v/>
      </c>
      <c r="G78" s="41" t="str">
        <f aca="false">IF(AND(A78&lt;&gt;"",D78&gt;0.005),IF(A78&lt;=Grace,0,IF(A78=NPer,D78,IF(Method="Equal principal (reducing payments)",MIN(ROUND(EqPrin,2),D78),MIN(ROUND(Annuity-F78,2),D78)))),"")</f>
        <v/>
      </c>
      <c r="H78" s="41" t="str">
        <f aca="false">IF(AND(A78&lt;&gt;"",D78&gt;0.005),IF(A78&lt;=Grace,0,MIN(Extra,D78-G78)),"")</f>
        <v/>
      </c>
      <c r="I78" s="41" t="str">
        <f aca="false">IF(AND(A78&lt;&gt;"",D78&gt;0.005),MIN(SUMIF(LumpN,A78,LumpAmt),D78-G78-H78),"")</f>
        <v/>
      </c>
      <c r="J78" s="42" t="str">
        <f aca="false">IF(AND(A78&lt;&gt;"",D78&gt;0.005),E78+H78+I78,"")</f>
        <v/>
      </c>
      <c r="K78" s="42" t="str">
        <f aca="false">IF(AND(A78&lt;&gt;"",D78&gt;0.005),ROUND(D78-G78-H78-I78,2),"")</f>
        <v/>
      </c>
      <c r="L78" s="41" t="str">
        <f aca="false">IF(AND(A78&lt;&gt;"",D78&gt;0.005),L77+F78,"")</f>
        <v/>
      </c>
      <c r="M78" s="41" t="str">
        <f aca="false">IF(AND(A78&lt;&gt;"",D78&gt;0.005),M77+G78+H78+I78,"")</f>
        <v/>
      </c>
      <c r="N78" s="43" t="str">
        <f aca="false">IF(B78="","",YEAR(B78))</f>
        <v/>
      </c>
      <c r="O78" s="44" t="n">
        <f aca="false">IF(AND(A78&lt;&gt;"",D78&gt;0.005),J78,0)</f>
        <v>0</v>
      </c>
      <c r="P78" s="44" t="n">
        <f aca="false">R77</f>
        <v>0</v>
      </c>
      <c r="Q78" s="44" t="n">
        <f aca="false">IF(AND(P78&gt;0.005,71&lt;=NPer),ROUND(P78*RP,2),0)</f>
        <v>0</v>
      </c>
      <c r="R78" s="44" t="n">
        <f aca="false">IF(AND(P78&gt;0.005,71&lt;=NPer),ROUND(P78-IF(71&lt;=Grace,0,IF(71=NPer,P78,IF(Method="Equal principal (reducing payments)",MIN(ROUND(EqPrin,2),P78),MIN(ROUND(Annuity-Q78,2),P78)))),2),0)</f>
        <v>0</v>
      </c>
    </row>
    <row r="79" customFormat="false" ht="15" hidden="false" customHeight="false" outlineLevel="0" collapsed="false">
      <c r="A79" s="38" t="str">
        <f aca="false">IF(AND(N(K78)&gt;0.005,A78&lt;NPer),A78+1,"")</f>
        <v/>
      </c>
      <c r="B79" s="39" t="str">
        <f aca="false">IF(A79="","",EDATE(Disb,A79*MPP))</f>
        <v/>
      </c>
      <c r="C79" s="40" t="str">
        <f aca="false">IF(A79="","",IF(A79&lt;=Grace,"Grace","Repayment"))</f>
        <v/>
      </c>
      <c r="D79" s="41" t="str">
        <f aca="false">IF(A79="","",K78)</f>
        <v/>
      </c>
      <c r="E79" s="41" t="str">
        <f aca="false">IF(AND(A79&lt;&gt;"",D79&gt;0.005),F79+G79,"")</f>
        <v/>
      </c>
      <c r="F79" s="41" t="str">
        <f aca="false">IF(AND(A79&lt;&gt;"",D79&gt;0.005),ROUND(D79*RP,2),"")</f>
        <v/>
      </c>
      <c r="G79" s="41" t="str">
        <f aca="false">IF(AND(A79&lt;&gt;"",D79&gt;0.005),IF(A79&lt;=Grace,0,IF(A79=NPer,D79,IF(Method="Equal principal (reducing payments)",MIN(ROUND(EqPrin,2),D79),MIN(ROUND(Annuity-F79,2),D79)))),"")</f>
        <v/>
      </c>
      <c r="H79" s="41" t="str">
        <f aca="false">IF(AND(A79&lt;&gt;"",D79&gt;0.005),IF(A79&lt;=Grace,0,MIN(Extra,D79-G79)),"")</f>
        <v/>
      </c>
      <c r="I79" s="41" t="str">
        <f aca="false">IF(AND(A79&lt;&gt;"",D79&gt;0.005),MIN(SUMIF(LumpN,A79,LumpAmt),D79-G79-H79),"")</f>
        <v/>
      </c>
      <c r="J79" s="42" t="str">
        <f aca="false">IF(AND(A79&lt;&gt;"",D79&gt;0.005),E79+H79+I79,"")</f>
        <v/>
      </c>
      <c r="K79" s="42" t="str">
        <f aca="false">IF(AND(A79&lt;&gt;"",D79&gt;0.005),ROUND(D79-G79-H79-I79,2),"")</f>
        <v/>
      </c>
      <c r="L79" s="41" t="str">
        <f aca="false">IF(AND(A79&lt;&gt;"",D79&gt;0.005),L78+F79,"")</f>
        <v/>
      </c>
      <c r="M79" s="41" t="str">
        <f aca="false">IF(AND(A79&lt;&gt;"",D79&gt;0.005),M78+G79+H79+I79,"")</f>
        <v/>
      </c>
      <c r="N79" s="43" t="str">
        <f aca="false">IF(B79="","",YEAR(B79))</f>
        <v/>
      </c>
      <c r="O79" s="44" t="n">
        <f aca="false">IF(AND(A79&lt;&gt;"",D79&gt;0.005),J79,0)</f>
        <v>0</v>
      </c>
      <c r="P79" s="44" t="n">
        <f aca="false">R78</f>
        <v>0</v>
      </c>
      <c r="Q79" s="44" t="n">
        <f aca="false">IF(AND(P79&gt;0.005,72&lt;=NPer),ROUND(P79*RP,2),0)</f>
        <v>0</v>
      </c>
      <c r="R79" s="44" t="n">
        <f aca="false">IF(AND(P79&gt;0.005,72&lt;=NPer),ROUND(P79-IF(72&lt;=Grace,0,IF(72=NPer,P79,IF(Method="Equal principal (reducing payments)",MIN(ROUND(EqPrin,2),P79),MIN(ROUND(Annuity-Q79,2),P79)))),2),0)</f>
        <v>0</v>
      </c>
    </row>
    <row r="80" customFormat="false" ht="15" hidden="false" customHeight="false" outlineLevel="0" collapsed="false">
      <c r="A80" s="38" t="str">
        <f aca="false">IF(AND(N(K79)&gt;0.005,A79&lt;NPer),A79+1,"")</f>
        <v/>
      </c>
      <c r="B80" s="39" t="str">
        <f aca="false">IF(A80="","",EDATE(Disb,A80*MPP))</f>
        <v/>
      </c>
      <c r="C80" s="40" t="str">
        <f aca="false">IF(A80="","",IF(A80&lt;=Grace,"Grace","Repayment"))</f>
        <v/>
      </c>
      <c r="D80" s="41" t="str">
        <f aca="false">IF(A80="","",K79)</f>
        <v/>
      </c>
      <c r="E80" s="41" t="str">
        <f aca="false">IF(AND(A80&lt;&gt;"",D80&gt;0.005),F80+G80,"")</f>
        <v/>
      </c>
      <c r="F80" s="41" t="str">
        <f aca="false">IF(AND(A80&lt;&gt;"",D80&gt;0.005),ROUND(D80*RP,2),"")</f>
        <v/>
      </c>
      <c r="G80" s="41" t="str">
        <f aca="false">IF(AND(A80&lt;&gt;"",D80&gt;0.005),IF(A80&lt;=Grace,0,IF(A80=NPer,D80,IF(Method="Equal principal (reducing payments)",MIN(ROUND(EqPrin,2),D80),MIN(ROUND(Annuity-F80,2),D80)))),"")</f>
        <v/>
      </c>
      <c r="H80" s="41" t="str">
        <f aca="false">IF(AND(A80&lt;&gt;"",D80&gt;0.005),IF(A80&lt;=Grace,0,MIN(Extra,D80-G80)),"")</f>
        <v/>
      </c>
      <c r="I80" s="41" t="str">
        <f aca="false">IF(AND(A80&lt;&gt;"",D80&gt;0.005),MIN(SUMIF(LumpN,A80,LumpAmt),D80-G80-H80),"")</f>
        <v/>
      </c>
      <c r="J80" s="42" t="str">
        <f aca="false">IF(AND(A80&lt;&gt;"",D80&gt;0.005),E80+H80+I80,"")</f>
        <v/>
      </c>
      <c r="K80" s="42" t="str">
        <f aca="false">IF(AND(A80&lt;&gt;"",D80&gt;0.005),ROUND(D80-G80-H80-I80,2),"")</f>
        <v/>
      </c>
      <c r="L80" s="41" t="str">
        <f aca="false">IF(AND(A80&lt;&gt;"",D80&gt;0.005),L79+F80,"")</f>
        <v/>
      </c>
      <c r="M80" s="41" t="str">
        <f aca="false">IF(AND(A80&lt;&gt;"",D80&gt;0.005),M79+G80+H80+I80,"")</f>
        <v/>
      </c>
      <c r="N80" s="43" t="str">
        <f aca="false">IF(B80="","",YEAR(B80))</f>
        <v/>
      </c>
      <c r="O80" s="44" t="n">
        <f aca="false">IF(AND(A80&lt;&gt;"",D80&gt;0.005),J80,0)</f>
        <v>0</v>
      </c>
      <c r="P80" s="44" t="n">
        <f aca="false">R79</f>
        <v>0</v>
      </c>
      <c r="Q80" s="44" t="n">
        <f aca="false">IF(AND(P80&gt;0.005,73&lt;=NPer),ROUND(P80*RP,2),0)</f>
        <v>0</v>
      </c>
      <c r="R80" s="44" t="n">
        <f aca="false">IF(AND(P80&gt;0.005,73&lt;=NPer),ROUND(P80-IF(73&lt;=Grace,0,IF(73=NPer,P80,IF(Method="Equal principal (reducing payments)",MIN(ROUND(EqPrin,2),P80),MIN(ROUND(Annuity-Q80,2),P80)))),2),0)</f>
        <v>0</v>
      </c>
    </row>
    <row r="81" customFormat="false" ht="15" hidden="false" customHeight="false" outlineLevel="0" collapsed="false">
      <c r="A81" s="38" t="str">
        <f aca="false">IF(AND(N(K80)&gt;0.005,A80&lt;NPer),A80+1,"")</f>
        <v/>
      </c>
      <c r="B81" s="39" t="str">
        <f aca="false">IF(A81="","",EDATE(Disb,A81*MPP))</f>
        <v/>
      </c>
      <c r="C81" s="40" t="str">
        <f aca="false">IF(A81="","",IF(A81&lt;=Grace,"Grace","Repayment"))</f>
        <v/>
      </c>
      <c r="D81" s="41" t="str">
        <f aca="false">IF(A81="","",K80)</f>
        <v/>
      </c>
      <c r="E81" s="41" t="str">
        <f aca="false">IF(AND(A81&lt;&gt;"",D81&gt;0.005),F81+G81,"")</f>
        <v/>
      </c>
      <c r="F81" s="41" t="str">
        <f aca="false">IF(AND(A81&lt;&gt;"",D81&gt;0.005),ROUND(D81*RP,2),"")</f>
        <v/>
      </c>
      <c r="G81" s="41" t="str">
        <f aca="false">IF(AND(A81&lt;&gt;"",D81&gt;0.005),IF(A81&lt;=Grace,0,IF(A81=NPer,D81,IF(Method="Equal principal (reducing payments)",MIN(ROUND(EqPrin,2),D81),MIN(ROUND(Annuity-F81,2),D81)))),"")</f>
        <v/>
      </c>
      <c r="H81" s="41" t="str">
        <f aca="false">IF(AND(A81&lt;&gt;"",D81&gt;0.005),IF(A81&lt;=Grace,0,MIN(Extra,D81-G81)),"")</f>
        <v/>
      </c>
      <c r="I81" s="41" t="str">
        <f aca="false">IF(AND(A81&lt;&gt;"",D81&gt;0.005),MIN(SUMIF(LumpN,A81,LumpAmt),D81-G81-H81),"")</f>
        <v/>
      </c>
      <c r="J81" s="42" t="str">
        <f aca="false">IF(AND(A81&lt;&gt;"",D81&gt;0.005),E81+H81+I81,"")</f>
        <v/>
      </c>
      <c r="K81" s="42" t="str">
        <f aca="false">IF(AND(A81&lt;&gt;"",D81&gt;0.005),ROUND(D81-G81-H81-I81,2),"")</f>
        <v/>
      </c>
      <c r="L81" s="41" t="str">
        <f aca="false">IF(AND(A81&lt;&gt;"",D81&gt;0.005),L80+F81,"")</f>
        <v/>
      </c>
      <c r="M81" s="41" t="str">
        <f aca="false">IF(AND(A81&lt;&gt;"",D81&gt;0.005),M80+G81+H81+I81,"")</f>
        <v/>
      </c>
      <c r="N81" s="43" t="str">
        <f aca="false">IF(B81="","",YEAR(B81))</f>
        <v/>
      </c>
      <c r="O81" s="44" t="n">
        <f aca="false">IF(AND(A81&lt;&gt;"",D81&gt;0.005),J81,0)</f>
        <v>0</v>
      </c>
      <c r="P81" s="44" t="n">
        <f aca="false">R80</f>
        <v>0</v>
      </c>
      <c r="Q81" s="44" t="n">
        <f aca="false">IF(AND(P81&gt;0.005,74&lt;=NPer),ROUND(P81*RP,2),0)</f>
        <v>0</v>
      </c>
      <c r="R81" s="44" t="n">
        <f aca="false">IF(AND(P81&gt;0.005,74&lt;=NPer),ROUND(P81-IF(74&lt;=Grace,0,IF(74=NPer,P81,IF(Method="Equal principal (reducing payments)",MIN(ROUND(EqPrin,2),P81),MIN(ROUND(Annuity-Q81,2),P81)))),2),0)</f>
        <v>0</v>
      </c>
    </row>
    <row r="82" customFormat="false" ht="15" hidden="false" customHeight="false" outlineLevel="0" collapsed="false">
      <c r="A82" s="38" t="str">
        <f aca="false">IF(AND(N(K81)&gt;0.005,A81&lt;NPer),A81+1,"")</f>
        <v/>
      </c>
      <c r="B82" s="39" t="str">
        <f aca="false">IF(A82="","",EDATE(Disb,A82*MPP))</f>
        <v/>
      </c>
      <c r="C82" s="40" t="str">
        <f aca="false">IF(A82="","",IF(A82&lt;=Grace,"Grace","Repayment"))</f>
        <v/>
      </c>
      <c r="D82" s="41" t="str">
        <f aca="false">IF(A82="","",K81)</f>
        <v/>
      </c>
      <c r="E82" s="41" t="str">
        <f aca="false">IF(AND(A82&lt;&gt;"",D82&gt;0.005),F82+G82,"")</f>
        <v/>
      </c>
      <c r="F82" s="41" t="str">
        <f aca="false">IF(AND(A82&lt;&gt;"",D82&gt;0.005),ROUND(D82*RP,2),"")</f>
        <v/>
      </c>
      <c r="G82" s="41" t="str">
        <f aca="false">IF(AND(A82&lt;&gt;"",D82&gt;0.005),IF(A82&lt;=Grace,0,IF(A82=NPer,D82,IF(Method="Equal principal (reducing payments)",MIN(ROUND(EqPrin,2),D82),MIN(ROUND(Annuity-F82,2),D82)))),"")</f>
        <v/>
      </c>
      <c r="H82" s="41" t="str">
        <f aca="false">IF(AND(A82&lt;&gt;"",D82&gt;0.005),IF(A82&lt;=Grace,0,MIN(Extra,D82-G82)),"")</f>
        <v/>
      </c>
      <c r="I82" s="41" t="str">
        <f aca="false">IF(AND(A82&lt;&gt;"",D82&gt;0.005),MIN(SUMIF(LumpN,A82,LumpAmt),D82-G82-H82),"")</f>
        <v/>
      </c>
      <c r="J82" s="42" t="str">
        <f aca="false">IF(AND(A82&lt;&gt;"",D82&gt;0.005),E82+H82+I82,"")</f>
        <v/>
      </c>
      <c r="K82" s="42" t="str">
        <f aca="false">IF(AND(A82&lt;&gt;"",D82&gt;0.005),ROUND(D82-G82-H82-I82,2),"")</f>
        <v/>
      </c>
      <c r="L82" s="41" t="str">
        <f aca="false">IF(AND(A82&lt;&gt;"",D82&gt;0.005),L81+F82,"")</f>
        <v/>
      </c>
      <c r="M82" s="41" t="str">
        <f aca="false">IF(AND(A82&lt;&gt;"",D82&gt;0.005),M81+G82+H82+I82,"")</f>
        <v/>
      </c>
      <c r="N82" s="43" t="str">
        <f aca="false">IF(B82="","",YEAR(B82))</f>
        <v/>
      </c>
      <c r="O82" s="44" t="n">
        <f aca="false">IF(AND(A82&lt;&gt;"",D82&gt;0.005),J82,0)</f>
        <v>0</v>
      </c>
      <c r="P82" s="44" t="n">
        <f aca="false">R81</f>
        <v>0</v>
      </c>
      <c r="Q82" s="44" t="n">
        <f aca="false">IF(AND(P82&gt;0.005,75&lt;=NPer),ROUND(P82*RP,2),0)</f>
        <v>0</v>
      </c>
      <c r="R82" s="44" t="n">
        <f aca="false">IF(AND(P82&gt;0.005,75&lt;=NPer),ROUND(P82-IF(75&lt;=Grace,0,IF(75=NPer,P82,IF(Method="Equal principal (reducing payments)",MIN(ROUND(EqPrin,2),P82),MIN(ROUND(Annuity-Q82,2),P82)))),2),0)</f>
        <v>0</v>
      </c>
    </row>
    <row r="83" customFormat="false" ht="15" hidden="false" customHeight="false" outlineLevel="0" collapsed="false">
      <c r="A83" s="38" t="str">
        <f aca="false">IF(AND(N(K82)&gt;0.005,A82&lt;NPer),A82+1,"")</f>
        <v/>
      </c>
      <c r="B83" s="39" t="str">
        <f aca="false">IF(A83="","",EDATE(Disb,A83*MPP))</f>
        <v/>
      </c>
      <c r="C83" s="40" t="str">
        <f aca="false">IF(A83="","",IF(A83&lt;=Grace,"Grace","Repayment"))</f>
        <v/>
      </c>
      <c r="D83" s="41" t="str">
        <f aca="false">IF(A83="","",K82)</f>
        <v/>
      </c>
      <c r="E83" s="41" t="str">
        <f aca="false">IF(AND(A83&lt;&gt;"",D83&gt;0.005),F83+G83,"")</f>
        <v/>
      </c>
      <c r="F83" s="41" t="str">
        <f aca="false">IF(AND(A83&lt;&gt;"",D83&gt;0.005),ROUND(D83*RP,2),"")</f>
        <v/>
      </c>
      <c r="G83" s="41" t="str">
        <f aca="false">IF(AND(A83&lt;&gt;"",D83&gt;0.005),IF(A83&lt;=Grace,0,IF(A83=NPer,D83,IF(Method="Equal principal (reducing payments)",MIN(ROUND(EqPrin,2),D83),MIN(ROUND(Annuity-F83,2),D83)))),"")</f>
        <v/>
      </c>
      <c r="H83" s="41" t="str">
        <f aca="false">IF(AND(A83&lt;&gt;"",D83&gt;0.005),IF(A83&lt;=Grace,0,MIN(Extra,D83-G83)),"")</f>
        <v/>
      </c>
      <c r="I83" s="41" t="str">
        <f aca="false">IF(AND(A83&lt;&gt;"",D83&gt;0.005),MIN(SUMIF(LumpN,A83,LumpAmt),D83-G83-H83),"")</f>
        <v/>
      </c>
      <c r="J83" s="42" t="str">
        <f aca="false">IF(AND(A83&lt;&gt;"",D83&gt;0.005),E83+H83+I83,"")</f>
        <v/>
      </c>
      <c r="K83" s="42" t="str">
        <f aca="false">IF(AND(A83&lt;&gt;"",D83&gt;0.005),ROUND(D83-G83-H83-I83,2),"")</f>
        <v/>
      </c>
      <c r="L83" s="41" t="str">
        <f aca="false">IF(AND(A83&lt;&gt;"",D83&gt;0.005),L82+F83,"")</f>
        <v/>
      </c>
      <c r="M83" s="41" t="str">
        <f aca="false">IF(AND(A83&lt;&gt;"",D83&gt;0.005),M82+G83+H83+I83,"")</f>
        <v/>
      </c>
      <c r="N83" s="43" t="str">
        <f aca="false">IF(B83="","",YEAR(B83))</f>
        <v/>
      </c>
      <c r="O83" s="44" t="n">
        <f aca="false">IF(AND(A83&lt;&gt;"",D83&gt;0.005),J83,0)</f>
        <v>0</v>
      </c>
      <c r="P83" s="44" t="n">
        <f aca="false">R82</f>
        <v>0</v>
      </c>
      <c r="Q83" s="44" t="n">
        <f aca="false">IF(AND(P83&gt;0.005,76&lt;=NPer),ROUND(P83*RP,2),0)</f>
        <v>0</v>
      </c>
      <c r="R83" s="44" t="n">
        <f aca="false">IF(AND(P83&gt;0.005,76&lt;=NPer),ROUND(P83-IF(76&lt;=Grace,0,IF(76=NPer,P83,IF(Method="Equal principal (reducing payments)",MIN(ROUND(EqPrin,2),P83),MIN(ROUND(Annuity-Q83,2),P83)))),2),0)</f>
        <v>0</v>
      </c>
    </row>
    <row r="84" customFormat="false" ht="15" hidden="false" customHeight="false" outlineLevel="0" collapsed="false">
      <c r="A84" s="38" t="str">
        <f aca="false">IF(AND(N(K83)&gt;0.005,A83&lt;NPer),A83+1,"")</f>
        <v/>
      </c>
      <c r="B84" s="39" t="str">
        <f aca="false">IF(A84="","",EDATE(Disb,A84*MPP))</f>
        <v/>
      </c>
      <c r="C84" s="40" t="str">
        <f aca="false">IF(A84="","",IF(A84&lt;=Grace,"Grace","Repayment"))</f>
        <v/>
      </c>
      <c r="D84" s="41" t="str">
        <f aca="false">IF(A84="","",K83)</f>
        <v/>
      </c>
      <c r="E84" s="41" t="str">
        <f aca="false">IF(AND(A84&lt;&gt;"",D84&gt;0.005),F84+G84,"")</f>
        <v/>
      </c>
      <c r="F84" s="41" t="str">
        <f aca="false">IF(AND(A84&lt;&gt;"",D84&gt;0.005),ROUND(D84*RP,2),"")</f>
        <v/>
      </c>
      <c r="G84" s="41" t="str">
        <f aca="false">IF(AND(A84&lt;&gt;"",D84&gt;0.005),IF(A84&lt;=Grace,0,IF(A84=NPer,D84,IF(Method="Equal principal (reducing payments)",MIN(ROUND(EqPrin,2),D84),MIN(ROUND(Annuity-F84,2),D84)))),"")</f>
        <v/>
      </c>
      <c r="H84" s="41" t="str">
        <f aca="false">IF(AND(A84&lt;&gt;"",D84&gt;0.005),IF(A84&lt;=Grace,0,MIN(Extra,D84-G84)),"")</f>
        <v/>
      </c>
      <c r="I84" s="41" t="str">
        <f aca="false">IF(AND(A84&lt;&gt;"",D84&gt;0.005),MIN(SUMIF(LumpN,A84,LumpAmt),D84-G84-H84),"")</f>
        <v/>
      </c>
      <c r="J84" s="42" t="str">
        <f aca="false">IF(AND(A84&lt;&gt;"",D84&gt;0.005),E84+H84+I84,"")</f>
        <v/>
      </c>
      <c r="K84" s="42" t="str">
        <f aca="false">IF(AND(A84&lt;&gt;"",D84&gt;0.005),ROUND(D84-G84-H84-I84,2),"")</f>
        <v/>
      </c>
      <c r="L84" s="41" t="str">
        <f aca="false">IF(AND(A84&lt;&gt;"",D84&gt;0.005),L83+F84,"")</f>
        <v/>
      </c>
      <c r="M84" s="41" t="str">
        <f aca="false">IF(AND(A84&lt;&gt;"",D84&gt;0.005),M83+G84+H84+I84,"")</f>
        <v/>
      </c>
      <c r="N84" s="43" t="str">
        <f aca="false">IF(B84="","",YEAR(B84))</f>
        <v/>
      </c>
      <c r="O84" s="44" t="n">
        <f aca="false">IF(AND(A84&lt;&gt;"",D84&gt;0.005),J84,0)</f>
        <v>0</v>
      </c>
      <c r="P84" s="44" t="n">
        <f aca="false">R83</f>
        <v>0</v>
      </c>
      <c r="Q84" s="44" t="n">
        <f aca="false">IF(AND(P84&gt;0.005,77&lt;=NPer),ROUND(P84*RP,2),0)</f>
        <v>0</v>
      </c>
      <c r="R84" s="44" t="n">
        <f aca="false">IF(AND(P84&gt;0.005,77&lt;=NPer),ROUND(P84-IF(77&lt;=Grace,0,IF(77=NPer,P84,IF(Method="Equal principal (reducing payments)",MIN(ROUND(EqPrin,2),P84),MIN(ROUND(Annuity-Q84,2),P84)))),2),0)</f>
        <v>0</v>
      </c>
    </row>
    <row r="85" customFormat="false" ht="15" hidden="false" customHeight="false" outlineLevel="0" collapsed="false">
      <c r="A85" s="38" t="str">
        <f aca="false">IF(AND(N(K84)&gt;0.005,A84&lt;NPer),A84+1,"")</f>
        <v/>
      </c>
      <c r="B85" s="39" t="str">
        <f aca="false">IF(A85="","",EDATE(Disb,A85*MPP))</f>
        <v/>
      </c>
      <c r="C85" s="40" t="str">
        <f aca="false">IF(A85="","",IF(A85&lt;=Grace,"Grace","Repayment"))</f>
        <v/>
      </c>
      <c r="D85" s="41" t="str">
        <f aca="false">IF(A85="","",K84)</f>
        <v/>
      </c>
      <c r="E85" s="41" t="str">
        <f aca="false">IF(AND(A85&lt;&gt;"",D85&gt;0.005),F85+G85,"")</f>
        <v/>
      </c>
      <c r="F85" s="41" t="str">
        <f aca="false">IF(AND(A85&lt;&gt;"",D85&gt;0.005),ROUND(D85*RP,2),"")</f>
        <v/>
      </c>
      <c r="G85" s="41" t="str">
        <f aca="false">IF(AND(A85&lt;&gt;"",D85&gt;0.005),IF(A85&lt;=Grace,0,IF(A85=NPer,D85,IF(Method="Equal principal (reducing payments)",MIN(ROUND(EqPrin,2),D85),MIN(ROUND(Annuity-F85,2),D85)))),"")</f>
        <v/>
      </c>
      <c r="H85" s="41" t="str">
        <f aca="false">IF(AND(A85&lt;&gt;"",D85&gt;0.005),IF(A85&lt;=Grace,0,MIN(Extra,D85-G85)),"")</f>
        <v/>
      </c>
      <c r="I85" s="41" t="str">
        <f aca="false">IF(AND(A85&lt;&gt;"",D85&gt;0.005),MIN(SUMIF(LumpN,A85,LumpAmt),D85-G85-H85),"")</f>
        <v/>
      </c>
      <c r="J85" s="42" t="str">
        <f aca="false">IF(AND(A85&lt;&gt;"",D85&gt;0.005),E85+H85+I85,"")</f>
        <v/>
      </c>
      <c r="K85" s="42" t="str">
        <f aca="false">IF(AND(A85&lt;&gt;"",D85&gt;0.005),ROUND(D85-G85-H85-I85,2),"")</f>
        <v/>
      </c>
      <c r="L85" s="41" t="str">
        <f aca="false">IF(AND(A85&lt;&gt;"",D85&gt;0.005),L84+F85,"")</f>
        <v/>
      </c>
      <c r="M85" s="41" t="str">
        <f aca="false">IF(AND(A85&lt;&gt;"",D85&gt;0.005),M84+G85+H85+I85,"")</f>
        <v/>
      </c>
      <c r="N85" s="43" t="str">
        <f aca="false">IF(B85="","",YEAR(B85))</f>
        <v/>
      </c>
      <c r="O85" s="44" t="n">
        <f aca="false">IF(AND(A85&lt;&gt;"",D85&gt;0.005),J85,0)</f>
        <v>0</v>
      </c>
      <c r="P85" s="44" t="n">
        <f aca="false">R84</f>
        <v>0</v>
      </c>
      <c r="Q85" s="44" t="n">
        <f aca="false">IF(AND(P85&gt;0.005,78&lt;=NPer),ROUND(P85*RP,2),0)</f>
        <v>0</v>
      </c>
      <c r="R85" s="44" t="n">
        <f aca="false">IF(AND(P85&gt;0.005,78&lt;=NPer),ROUND(P85-IF(78&lt;=Grace,0,IF(78=NPer,P85,IF(Method="Equal principal (reducing payments)",MIN(ROUND(EqPrin,2),P85),MIN(ROUND(Annuity-Q85,2),P85)))),2),0)</f>
        <v>0</v>
      </c>
    </row>
    <row r="86" customFormat="false" ht="15" hidden="false" customHeight="false" outlineLevel="0" collapsed="false">
      <c r="A86" s="38" t="str">
        <f aca="false">IF(AND(N(K85)&gt;0.005,A85&lt;NPer),A85+1,"")</f>
        <v/>
      </c>
      <c r="B86" s="39" t="str">
        <f aca="false">IF(A86="","",EDATE(Disb,A86*MPP))</f>
        <v/>
      </c>
      <c r="C86" s="40" t="str">
        <f aca="false">IF(A86="","",IF(A86&lt;=Grace,"Grace","Repayment"))</f>
        <v/>
      </c>
      <c r="D86" s="41" t="str">
        <f aca="false">IF(A86="","",K85)</f>
        <v/>
      </c>
      <c r="E86" s="41" t="str">
        <f aca="false">IF(AND(A86&lt;&gt;"",D86&gt;0.005),F86+G86,"")</f>
        <v/>
      </c>
      <c r="F86" s="41" t="str">
        <f aca="false">IF(AND(A86&lt;&gt;"",D86&gt;0.005),ROUND(D86*RP,2),"")</f>
        <v/>
      </c>
      <c r="G86" s="41" t="str">
        <f aca="false">IF(AND(A86&lt;&gt;"",D86&gt;0.005),IF(A86&lt;=Grace,0,IF(A86=NPer,D86,IF(Method="Equal principal (reducing payments)",MIN(ROUND(EqPrin,2),D86),MIN(ROUND(Annuity-F86,2),D86)))),"")</f>
        <v/>
      </c>
      <c r="H86" s="41" t="str">
        <f aca="false">IF(AND(A86&lt;&gt;"",D86&gt;0.005),IF(A86&lt;=Grace,0,MIN(Extra,D86-G86)),"")</f>
        <v/>
      </c>
      <c r="I86" s="41" t="str">
        <f aca="false">IF(AND(A86&lt;&gt;"",D86&gt;0.005),MIN(SUMIF(LumpN,A86,LumpAmt),D86-G86-H86),"")</f>
        <v/>
      </c>
      <c r="J86" s="42" t="str">
        <f aca="false">IF(AND(A86&lt;&gt;"",D86&gt;0.005),E86+H86+I86,"")</f>
        <v/>
      </c>
      <c r="K86" s="42" t="str">
        <f aca="false">IF(AND(A86&lt;&gt;"",D86&gt;0.005),ROUND(D86-G86-H86-I86,2),"")</f>
        <v/>
      </c>
      <c r="L86" s="41" t="str">
        <f aca="false">IF(AND(A86&lt;&gt;"",D86&gt;0.005),L85+F86,"")</f>
        <v/>
      </c>
      <c r="M86" s="41" t="str">
        <f aca="false">IF(AND(A86&lt;&gt;"",D86&gt;0.005),M85+G86+H86+I86,"")</f>
        <v/>
      </c>
      <c r="N86" s="43" t="str">
        <f aca="false">IF(B86="","",YEAR(B86))</f>
        <v/>
      </c>
      <c r="O86" s="44" t="n">
        <f aca="false">IF(AND(A86&lt;&gt;"",D86&gt;0.005),J86,0)</f>
        <v>0</v>
      </c>
      <c r="P86" s="44" t="n">
        <f aca="false">R85</f>
        <v>0</v>
      </c>
      <c r="Q86" s="44" t="n">
        <f aca="false">IF(AND(P86&gt;0.005,79&lt;=NPer),ROUND(P86*RP,2),0)</f>
        <v>0</v>
      </c>
      <c r="R86" s="44" t="n">
        <f aca="false">IF(AND(P86&gt;0.005,79&lt;=NPer),ROUND(P86-IF(79&lt;=Grace,0,IF(79=NPer,P86,IF(Method="Equal principal (reducing payments)",MIN(ROUND(EqPrin,2),P86),MIN(ROUND(Annuity-Q86,2),P86)))),2),0)</f>
        <v>0</v>
      </c>
    </row>
    <row r="87" customFormat="false" ht="15" hidden="false" customHeight="false" outlineLevel="0" collapsed="false">
      <c r="A87" s="38" t="str">
        <f aca="false">IF(AND(N(K86)&gt;0.005,A86&lt;NPer),A86+1,"")</f>
        <v/>
      </c>
      <c r="B87" s="39" t="str">
        <f aca="false">IF(A87="","",EDATE(Disb,A87*MPP))</f>
        <v/>
      </c>
      <c r="C87" s="40" t="str">
        <f aca="false">IF(A87="","",IF(A87&lt;=Grace,"Grace","Repayment"))</f>
        <v/>
      </c>
      <c r="D87" s="41" t="str">
        <f aca="false">IF(A87="","",K86)</f>
        <v/>
      </c>
      <c r="E87" s="41" t="str">
        <f aca="false">IF(AND(A87&lt;&gt;"",D87&gt;0.005),F87+G87,"")</f>
        <v/>
      </c>
      <c r="F87" s="41" t="str">
        <f aca="false">IF(AND(A87&lt;&gt;"",D87&gt;0.005),ROUND(D87*RP,2),"")</f>
        <v/>
      </c>
      <c r="G87" s="41" t="str">
        <f aca="false">IF(AND(A87&lt;&gt;"",D87&gt;0.005),IF(A87&lt;=Grace,0,IF(A87=NPer,D87,IF(Method="Equal principal (reducing payments)",MIN(ROUND(EqPrin,2),D87),MIN(ROUND(Annuity-F87,2),D87)))),"")</f>
        <v/>
      </c>
      <c r="H87" s="41" t="str">
        <f aca="false">IF(AND(A87&lt;&gt;"",D87&gt;0.005),IF(A87&lt;=Grace,0,MIN(Extra,D87-G87)),"")</f>
        <v/>
      </c>
      <c r="I87" s="41" t="str">
        <f aca="false">IF(AND(A87&lt;&gt;"",D87&gt;0.005),MIN(SUMIF(LumpN,A87,LumpAmt),D87-G87-H87),"")</f>
        <v/>
      </c>
      <c r="J87" s="42" t="str">
        <f aca="false">IF(AND(A87&lt;&gt;"",D87&gt;0.005),E87+H87+I87,"")</f>
        <v/>
      </c>
      <c r="K87" s="42" t="str">
        <f aca="false">IF(AND(A87&lt;&gt;"",D87&gt;0.005),ROUND(D87-G87-H87-I87,2),"")</f>
        <v/>
      </c>
      <c r="L87" s="41" t="str">
        <f aca="false">IF(AND(A87&lt;&gt;"",D87&gt;0.005),L86+F87,"")</f>
        <v/>
      </c>
      <c r="M87" s="41" t="str">
        <f aca="false">IF(AND(A87&lt;&gt;"",D87&gt;0.005),M86+G87+H87+I87,"")</f>
        <v/>
      </c>
      <c r="N87" s="43" t="str">
        <f aca="false">IF(B87="","",YEAR(B87))</f>
        <v/>
      </c>
      <c r="O87" s="44" t="n">
        <f aca="false">IF(AND(A87&lt;&gt;"",D87&gt;0.005),J87,0)</f>
        <v>0</v>
      </c>
      <c r="P87" s="44" t="n">
        <f aca="false">R86</f>
        <v>0</v>
      </c>
      <c r="Q87" s="44" t="n">
        <f aca="false">IF(AND(P87&gt;0.005,80&lt;=NPer),ROUND(P87*RP,2),0)</f>
        <v>0</v>
      </c>
      <c r="R87" s="44" t="n">
        <f aca="false">IF(AND(P87&gt;0.005,80&lt;=NPer),ROUND(P87-IF(80&lt;=Grace,0,IF(80=NPer,P87,IF(Method="Equal principal (reducing payments)",MIN(ROUND(EqPrin,2),P87),MIN(ROUND(Annuity-Q87,2),P87)))),2),0)</f>
        <v>0</v>
      </c>
    </row>
    <row r="88" customFormat="false" ht="15" hidden="false" customHeight="false" outlineLevel="0" collapsed="false">
      <c r="A88" s="38" t="str">
        <f aca="false">IF(AND(N(K87)&gt;0.005,A87&lt;NPer),A87+1,"")</f>
        <v/>
      </c>
      <c r="B88" s="39" t="str">
        <f aca="false">IF(A88="","",EDATE(Disb,A88*MPP))</f>
        <v/>
      </c>
      <c r="C88" s="40" t="str">
        <f aca="false">IF(A88="","",IF(A88&lt;=Grace,"Grace","Repayment"))</f>
        <v/>
      </c>
      <c r="D88" s="41" t="str">
        <f aca="false">IF(A88="","",K87)</f>
        <v/>
      </c>
      <c r="E88" s="41" t="str">
        <f aca="false">IF(AND(A88&lt;&gt;"",D88&gt;0.005),F88+G88,"")</f>
        <v/>
      </c>
      <c r="F88" s="41" t="str">
        <f aca="false">IF(AND(A88&lt;&gt;"",D88&gt;0.005),ROUND(D88*RP,2),"")</f>
        <v/>
      </c>
      <c r="G88" s="41" t="str">
        <f aca="false">IF(AND(A88&lt;&gt;"",D88&gt;0.005),IF(A88&lt;=Grace,0,IF(A88=NPer,D88,IF(Method="Equal principal (reducing payments)",MIN(ROUND(EqPrin,2),D88),MIN(ROUND(Annuity-F88,2),D88)))),"")</f>
        <v/>
      </c>
      <c r="H88" s="41" t="str">
        <f aca="false">IF(AND(A88&lt;&gt;"",D88&gt;0.005),IF(A88&lt;=Grace,0,MIN(Extra,D88-G88)),"")</f>
        <v/>
      </c>
      <c r="I88" s="41" t="str">
        <f aca="false">IF(AND(A88&lt;&gt;"",D88&gt;0.005),MIN(SUMIF(LumpN,A88,LumpAmt),D88-G88-H88),"")</f>
        <v/>
      </c>
      <c r="J88" s="42" t="str">
        <f aca="false">IF(AND(A88&lt;&gt;"",D88&gt;0.005),E88+H88+I88,"")</f>
        <v/>
      </c>
      <c r="K88" s="42" t="str">
        <f aca="false">IF(AND(A88&lt;&gt;"",D88&gt;0.005),ROUND(D88-G88-H88-I88,2),"")</f>
        <v/>
      </c>
      <c r="L88" s="41" t="str">
        <f aca="false">IF(AND(A88&lt;&gt;"",D88&gt;0.005),L87+F88,"")</f>
        <v/>
      </c>
      <c r="M88" s="41" t="str">
        <f aca="false">IF(AND(A88&lt;&gt;"",D88&gt;0.005),M87+G88+H88+I88,"")</f>
        <v/>
      </c>
      <c r="N88" s="43" t="str">
        <f aca="false">IF(B88="","",YEAR(B88))</f>
        <v/>
      </c>
      <c r="O88" s="44" t="n">
        <f aca="false">IF(AND(A88&lt;&gt;"",D88&gt;0.005),J88,0)</f>
        <v>0</v>
      </c>
      <c r="P88" s="44" t="n">
        <f aca="false">R87</f>
        <v>0</v>
      </c>
      <c r="Q88" s="44" t="n">
        <f aca="false">IF(AND(P88&gt;0.005,81&lt;=NPer),ROUND(P88*RP,2),0)</f>
        <v>0</v>
      </c>
      <c r="R88" s="44" t="n">
        <f aca="false">IF(AND(P88&gt;0.005,81&lt;=NPer),ROUND(P88-IF(81&lt;=Grace,0,IF(81=NPer,P88,IF(Method="Equal principal (reducing payments)",MIN(ROUND(EqPrin,2),P88),MIN(ROUND(Annuity-Q88,2),P88)))),2),0)</f>
        <v>0</v>
      </c>
    </row>
    <row r="89" customFormat="false" ht="15" hidden="false" customHeight="false" outlineLevel="0" collapsed="false">
      <c r="A89" s="38" t="str">
        <f aca="false">IF(AND(N(K88)&gt;0.005,A88&lt;NPer),A88+1,"")</f>
        <v/>
      </c>
      <c r="B89" s="39" t="str">
        <f aca="false">IF(A89="","",EDATE(Disb,A89*MPP))</f>
        <v/>
      </c>
      <c r="C89" s="40" t="str">
        <f aca="false">IF(A89="","",IF(A89&lt;=Grace,"Grace","Repayment"))</f>
        <v/>
      </c>
      <c r="D89" s="41" t="str">
        <f aca="false">IF(A89="","",K88)</f>
        <v/>
      </c>
      <c r="E89" s="41" t="str">
        <f aca="false">IF(AND(A89&lt;&gt;"",D89&gt;0.005),F89+G89,"")</f>
        <v/>
      </c>
      <c r="F89" s="41" t="str">
        <f aca="false">IF(AND(A89&lt;&gt;"",D89&gt;0.005),ROUND(D89*RP,2),"")</f>
        <v/>
      </c>
      <c r="G89" s="41" t="str">
        <f aca="false">IF(AND(A89&lt;&gt;"",D89&gt;0.005),IF(A89&lt;=Grace,0,IF(A89=NPer,D89,IF(Method="Equal principal (reducing payments)",MIN(ROUND(EqPrin,2),D89),MIN(ROUND(Annuity-F89,2),D89)))),"")</f>
        <v/>
      </c>
      <c r="H89" s="41" t="str">
        <f aca="false">IF(AND(A89&lt;&gt;"",D89&gt;0.005),IF(A89&lt;=Grace,0,MIN(Extra,D89-G89)),"")</f>
        <v/>
      </c>
      <c r="I89" s="41" t="str">
        <f aca="false">IF(AND(A89&lt;&gt;"",D89&gt;0.005),MIN(SUMIF(LumpN,A89,LumpAmt),D89-G89-H89),"")</f>
        <v/>
      </c>
      <c r="J89" s="42" t="str">
        <f aca="false">IF(AND(A89&lt;&gt;"",D89&gt;0.005),E89+H89+I89,"")</f>
        <v/>
      </c>
      <c r="K89" s="42" t="str">
        <f aca="false">IF(AND(A89&lt;&gt;"",D89&gt;0.005),ROUND(D89-G89-H89-I89,2),"")</f>
        <v/>
      </c>
      <c r="L89" s="41" t="str">
        <f aca="false">IF(AND(A89&lt;&gt;"",D89&gt;0.005),L88+F89,"")</f>
        <v/>
      </c>
      <c r="M89" s="41" t="str">
        <f aca="false">IF(AND(A89&lt;&gt;"",D89&gt;0.005),M88+G89+H89+I89,"")</f>
        <v/>
      </c>
      <c r="N89" s="43" t="str">
        <f aca="false">IF(B89="","",YEAR(B89))</f>
        <v/>
      </c>
      <c r="O89" s="44" t="n">
        <f aca="false">IF(AND(A89&lt;&gt;"",D89&gt;0.005),J89,0)</f>
        <v>0</v>
      </c>
      <c r="P89" s="44" t="n">
        <f aca="false">R88</f>
        <v>0</v>
      </c>
      <c r="Q89" s="44" t="n">
        <f aca="false">IF(AND(P89&gt;0.005,82&lt;=NPer),ROUND(P89*RP,2),0)</f>
        <v>0</v>
      </c>
      <c r="R89" s="44" t="n">
        <f aca="false">IF(AND(P89&gt;0.005,82&lt;=NPer),ROUND(P89-IF(82&lt;=Grace,0,IF(82=NPer,P89,IF(Method="Equal principal (reducing payments)",MIN(ROUND(EqPrin,2),P89),MIN(ROUND(Annuity-Q89,2),P89)))),2),0)</f>
        <v>0</v>
      </c>
    </row>
    <row r="90" customFormat="false" ht="15" hidden="false" customHeight="false" outlineLevel="0" collapsed="false">
      <c r="A90" s="38" t="str">
        <f aca="false">IF(AND(N(K89)&gt;0.005,A89&lt;NPer),A89+1,"")</f>
        <v/>
      </c>
      <c r="B90" s="39" t="str">
        <f aca="false">IF(A90="","",EDATE(Disb,A90*MPP))</f>
        <v/>
      </c>
      <c r="C90" s="40" t="str">
        <f aca="false">IF(A90="","",IF(A90&lt;=Grace,"Grace","Repayment"))</f>
        <v/>
      </c>
      <c r="D90" s="41" t="str">
        <f aca="false">IF(A90="","",K89)</f>
        <v/>
      </c>
      <c r="E90" s="41" t="str">
        <f aca="false">IF(AND(A90&lt;&gt;"",D90&gt;0.005),F90+G90,"")</f>
        <v/>
      </c>
      <c r="F90" s="41" t="str">
        <f aca="false">IF(AND(A90&lt;&gt;"",D90&gt;0.005),ROUND(D90*RP,2),"")</f>
        <v/>
      </c>
      <c r="G90" s="41" t="str">
        <f aca="false">IF(AND(A90&lt;&gt;"",D90&gt;0.005),IF(A90&lt;=Grace,0,IF(A90=NPer,D90,IF(Method="Equal principal (reducing payments)",MIN(ROUND(EqPrin,2),D90),MIN(ROUND(Annuity-F90,2),D90)))),"")</f>
        <v/>
      </c>
      <c r="H90" s="41" t="str">
        <f aca="false">IF(AND(A90&lt;&gt;"",D90&gt;0.005),IF(A90&lt;=Grace,0,MIN(Extra,D90-G90)),"")</f>
        <v/>
      </c>
      <c r="I90" s="41" t="str">
        <f aca="false">IF(AND(A90&lt;&gt;"",D90&gt;0.005),MIN(SUMIF(LumpN,A90,LumpAmt),D90-G90-H90),"")</f>
        <v/>
      </c>
      <c r="J90" s="42" t="str">
        <f aca="false">IF(AND(A90&lt;&gt;"",D90&gt;0.005),E90+H90+I90,"")</f>
        <v/>
      </c>
      <c r="K90" s="42" t="str">
        <f aca="false">IF(AND(A90&lt;&gt;"",D90&gt;0.005),ROUND(D90-G90-H90-I90,2),"")</f>
        <v/>
      </c>
      <c r="L90" s="41" t="str">
        <f aca="false">IF(AND(A90&lt;&gt;"",D90&gt;0.005),L89+F90,"")</f>
        <v/>
      </c>
      <c r="M90" s="41" t="str">
        <f aca="false">IF(AND(A90&lt;&gt;"",D90&gt;0.005),M89+G90+H90+I90,"")</f>
        <v/>
      </c>
      <c r="N90" s="43" t="str">
        <f aca="false">IF(B90="","",YEAR(B90))</f>
        <v/>
      </c>
      <c r="O90" s="44" t="n">
        <f aca="false">IF(AND(A90&lt;&gt;"",D90&gt;0.005),J90,0)</f>
        <v>0</v>
      </c>
      <c r="P90" s="44" t="n">
        <f aca="false">R89</f>
        <v>0</v>
      </c>
      <c r="Q90" s="44" t="n">
        <f aca="false">IF(AND(P90&gt;0.005,83&lt;=NPer),ROUND(P90*RP,2),0)</f>
        <v>0</v>
      </c>
      <c r="R90" s="44" t="n">
        <f aca="false">IF(AND(P90&gt;0.005,83&lt;=NPer),ROUND(P90-IF(83&lt;=Grace,0,IF(83=NPer,P90,IF(Method="Equal principal (reducing payments)",MIN(ROUND(EqPrin,2),P90),MIN(ROUND(Annuity-Q90,2),P90)))),2),0)</f>
        <v>0</v>
      </c>
    </row>
    <row r="91" customFormat="false" ht="15" hidden="false" customHeight="false" outlineLevel="0" collapsed="false">
      <c r="A91" s="38" t="str">
        <f aca="false">IF(AND(N(K90)&gt;0.005,A90&lt;NPer),A90+1,"")</f>
        <v/>
      </c>
      <c r="B91" s="39" t="str">
        <f aca="false">IF(A91="","",EDATE(Disb,A91*MPP))</f>
        <v/>
      </c>
      <c r="C91" s="40" t="str">
        <f aca="false">IF(A91="","",IF(A91&lt;=Grace,"Grace","Repayment"))</f>
        <v/>
      </c>
      <c r="D91" s="41" t="str">
        <f aca="false">IF(A91="","",K90)</f>
        <v/>
      </c>
      <c r="E91" s="41" t="str">
        <f aca="false">IF(AND(A91&lt;&gt;"",D91&gt;0.005),F91+G91,"")</f>
        <v/>
      </c>
      <c r="F91" s="41" t="str">
        <f aca="false">IF(AND(A91&lt;&gt;"",D91&gt;0.005),ROUND(D91*RP,2),"")</f>
        <v/>
      </c>
      <c r="G91" s="41" t="str">
        <f aca="false">IF(AND(A91&lt;&gt;"",D91&gt;0.005),IF(A91&lt;=Grace,0,IF(A91=NPer,D91,IF(Method="Equal principal (reducing payments)",MIN(ROUND(EqPrin,2),D91),MIN(ROUND(Annuity-F91,2),D91)))),"")</f>
        <v/>
      </c>
      <c r="H91" s="41" t="str">
        <f aca="false">IF(AND(A91&lt;&gt;"",D91&gt;0.005),IF(A91&lt;=Grace,0,MIN(Extra,D91-G91)),"")</f>
        <v/>
      </c>
      <c r="I91" s="41" t="str">
        <f aca="false">IF(AND(A91&lt;&gt;"",D91&gt;0.005),MIN(SUMIF(LumpN,A91,LumpAmt),D91-G91-H91),"")</f>
        <v/>
      </c>
      <c r="J91" s="42" t="str">
        <f aca="false">IF(AND(A91&lt;&gt;"",D91&gt;0.005),E91+H91+I91,"")</f>
        <v/>
      </c>
      <c r="K91" s="42" t="str">
        <f aca="false">IF(AND(A91&lt;&gt;"",D91&gt;0.005),ROUND(D91-G91-H91-I91,2),"")</f>
        <v/>
      </c>
      <c r="L91" s="41" t="str">
        <f aca="false">IF(AND(A91&lt;&gt;"",D91&gt;0.005),L90+F91,"")</f>
        <v/>
      </c>
      <c r="M91" s="41" t="str">
        <f aca="false">IF(AND(A91&lt;&gt;"",D91&gt;0.005),M90+G91+H91+I91,"")</f>
        <v/>
      </c>
      <c r="N91" s="43" t="str">
        <f aca="false">IF(B91="","",YEAR(B91))</f>
        <v/>
      </c>
      <c r="O91" s="44" t="n">
        <f aca="false">IF(AND(A91&lt;&gt;"",D91&gt;0.005),J91,0)</f>
        <v>0</v>
      </c>
      <c r="P91" s="44" t="n">
        <f aca="false">R90</f>
        <v>0</v>
      </c>
      <c r="Q91" s="44" t="n">
        <f aca="false">IF(AND(P91&gt;0.005,84&lt;=NPer),ROUND(P91*RP,2),0)</f>
        <v>0</v>
      </c>
      <c r="R91" s="44" t="n">
        <f aca="false">IF(AND(P91&gt;0.005,84&lt;=NPer),ROUND(P91-IF(84&lt;=Grace,0,IF(84=NPer,P91,IF(Method="Equal principal (reducing payments)",MIN(ROUND(EqPrin,2),P91),MIN(ROUND(Annuity-Q91,2),P91)))),2),0)</f>
        <v>0</v>
      </c>
    </row>
    <row r="92" customFormat="false" ht="15" hidden="false" customHeight="false" outlineLevel="0" collapsed="false">
      <c r="A92" s="38" t="str">
        <f aca="false">IF(AND(N(K91)&gt;0.005,A91&lt;NPer),A91+1,"")</f>
        <v/>
      </c>
      <c r="B92" s="39" t="str">
        <f aca="false">IF(A92="","",EDATE(Disb,A92*MPP))</f>
        <v/>
      </c>
      <c r="C92" s="40" t="str">
        <f aca="false">IF(A92="","",IF(A92&lt;=Grace,"Grace","Repayment"))</f>
        <v/>
      </c>
      <c r="D92" s="41" t="str">
        <f aca="false">IF(A92="","",K91)</f>
        <v/>
      </c>
      <c r="E92" s="41" t="str">
        <f aca="false">IF(AND(A92&lt;&gt;"",D92&gt;0.005),F92+G92,"")</f>
        <v/>
      </c>
      <c r="F92" s="41" t="str">
        <f aca="false">IF(AND(A92&lt;&gt;"",D92&gt;0.005),ROUND(D92*RP,2),"")</f>
        <v/>
      </c>
      <c r="G92" s="41" t="str">
        <f aca="false">IF(AND(A92&lt;&gt;"",D92&gt;0.005),IF(A92&lt;=Grace,0,IF(A92=NPer,D92,IF(Method="Equal principal (reducing payments)",MIN(ROUND(EqPrin,2),D92),MIN(ROUND(Annuity-F92,2),D92)))),"")</f>
        <v/>
      </c>
      <c r="H92" s="41" t="str">
        <f aca="false">IF(AND(A92&lt;&gt;"",D92&gt;0.005),IF(A92&lt;=Grace,0,MIN(Extra,D92-G92)),"")</f>
        <v/>
      </c>
      <c r="I92" s="41" t="str">
        <f aca="false">IF(AND(A92&lt;&gt;"",D92&gt;0.005),MIN(SUMIF(LumpN,A92,LumpAmt),D92-G92-H92),"")</f>
        <v/>
      </c>
      <c r="J92" s="42" t="str">
        <f aca="false">IF(AND(A92&lt;&gt;"",D92&gt;0.005),E92+H92+I92,"")</f>
        <v/>
      </c>
      <c r="K92" s="42" t="str">
        <f aca="false">IF(AND(A92&lt;&gt;"",D92&gt;0.005),ROUND(D92-G92-H92-I92,2),"")</f>
        <v/>
      </c>
      <c r="L92" s="41" t="str">
        <f aca="false">IF(AND(A92&lt;&gt;"",D92&gt;0.005),L91+F92,"")</f>
        <v/>
      </c>
      <c r="M92" s="41" t="str">
        <f aca="false">IF(AND(A92&lt;&gt;"",D92&gt;0.005),M91+G92+H92+I92,"")</f>
        <v/>
      </c>
      <c r="N92" s="43" t="str">
        <f aca="false">IF(B92="","",YEAR(B92))</f>
        <v/>
      </c>
      <c r="O92" s="44" t="n">
        <f aca="false">IF(AND(A92&lt;&gt;"",D92&gt;0.005),J92,0)</f>
        <v>0</v>
      </c>
      <c r="P92" s="44" t="n">
        <f aca="false">R91</f>
        <v>0</v>
      </c>
      <c r="Q92" s="44" t="n">
        <f aca="false">IF(AND(P92&gt;0.005,85&lt;=NPer),ROUND(P92*RP,2),0)</f>
        <v>0</v>
      </c>
      <c r="R92" s="44" t="n">
        <f aca="false">IF(AND(P92&gt;0.005,85&lt;=NPer),ROUND(P92-IF(85&lt;=Grace,0,IF(85=NPer,P92,IF(Method="Equal principal (reducing payments)",MIN(ROUND(EqPrin,2),P92),MIN(ROUND(Annuity-Q92,2),P92)))),2),0)</f>
        <v>0</v>
      </c>
    </row>
    <row r="93" customFormat="false" ht="15" hidden="false" customHeight="false" outlineLevel="0" collapsed="false">
      <c r="A93" s="38" t="str">
        <f aca="false">IF(AND(N(K92)&gt;0.005,A92&lt;NPer),A92+1,"")</f>
        <v/>
      </c>
      <c r="B93" s="39" t="str">
        <f aca="false">IF(A93="","",EDATE(Disb,A93*MPP))</f>
        <v/>
      </c>
      <c r="C93" s="40" t="str">
        <f aca="false">IF(A93="","",IF(A93&lt;=Grace,"Grace","Repayment"))</f>
        <v/>
      </c>
      <c r="D93" s="41" t="str">
        <f aca="false">IF(A93="","",K92)</f>
        <v/>
      </c>
      <c r="E93" s="41" t="str">
        <f aca="false">IF(AND(A93&lt;&gt;"",D93&gt;0.005),F93+G93,"")</f>
        <v/>
      </c>
      <c r="F93" s="41" t="str">
        <f aca="false">IF(AND(A93&lt;&gt;"",D93&gt;0.005),ROUND(D93*RP,2),"")</f>
        <v/>
      </c>
      <c r="G93" s="41" t="str">
        <f aca="false">IF(AND(A93&lt;&gt;"",D93&gt;0.005),IF(A93&lt;=Grace,0,IF(A93=NPer,D93,IF(Method="Equal principal (reducing payments)",MIN(ROUND(EqPrin,2),D93),MIN(ROUND(Annuity-F93,2),D93)))),"")</f>
        <v/>
      </c>
      <c r="H93" s="41" t="str">
        <f aca="false">IF(AND(A93&lt;&gt;"",D93&gt;0.005),IF(A93&lt;=Grace,0,MIN(Extra,D93-G93)),"")</f>
        <v/>
      </c>
      <c r="I93" s="41" t="str">
        <f aca="false">IF(AND(A93&lt;&gt;"",D93&gt;0.005),MIN(SUMIF(LumpN,A93,LumpAmt),D93-G93-H93),"")</f>
        <v/>
      </c>
      <c r="J93" s="42" t="str">
        <f aca="false">IF(AND(A93&lt;&gt;"",D93&gt;0.005),E93+H93+I93,"")</f>
        <v/>
      </c>
      <c r="K93" s="42" t="str">
        <f aca="false">IF(AND(A93&lt;&gt;"",D93&gt;0.005),ROUND(D93-G93-H93-I93,2),"")</f>
        <v/>
      </c>
      <c r="L93" s="41" t="str">
        <f aca="false">IF(AND(A93&lt;&gt;"",D93&gt;0.005),L92+F93,"")</f>
        <v/>
      </c>
      <c r="M93" s="41" t="str">
        <f aca="false">IF(AND(A93&lt;&gt;"",D93&gt;0.005),M92+G93+H93+I93,"")</f>
        <v/>
      </c>
      <c r="N93" s="43" t="str">
        <f aca="false">IF(B93="","",YEAR(B93))</f>
        <v/>
      </c>
      <c r="O93" s="44" t="n">
        <f aca="false">IF(AND(A93&lt;&gt;"",D93&gt;0.005),J93,0)</f>
        <v>0</v>
      </c>
      <c r="P93" s="44" t="n">
        <f aca="false">R92</f>
        <v>0</v>
      </c>
      <c r="Q93" s="44" t="n">
        <f aca="false">IF(AND(P93&gt;0.005,86&lt;=NPer),ROUND(P93*RP,2),0)</f>
        <v>0</v>
      </c>
      <c r="R93" s="44" t="n">
        <f aca="false">IF(AND(P93&gt;0.005,86&lt;=NPer),ROUND(P93-IF(86&lt;=Grace,0,IF(86=NPer,P93,IF(Method="Equal principal (reducing payments)",MIN(ROUND(EqPrin,2),P93),MIN(ROUND(Annuity-Q93,2),P93)))),2),0)</f>
        <v>0</v>
      </c>
    </row>
    <row r="94" customFormat="false" ht="15" hidden="false" customHeight="false" outlineLevel="0" collapsed="false">
      <c r="A94" s="38" t="str">
        <f aca="false">IF(AND(N(K93)&gt;0.005,A93&lt;NPer),A93+1,"")</f>
        <v/>
      </c>
      <c r="B94" s="39" t="str">
        <f aca="false">IF(A94="","",EDATE(Disb,A94*MPP))</f>
        <v/>
      </c>
      <c r="C94" s="40" t="str">
        <f aca="false">IF(A94="","",IF(A94&lt;=Grace,"Grace","Repayment"))</f>
        <v/>
      </c>
      <c r="D94" s="41" t="str">
        <f aca="false">IF(A94="","",K93)</f>
        <v/>
      </c>
      <c r="E94" s="41" t="str">
        <f aca="false">IF(AND(A94&lt;&gt;"",D94&gt;0.005),F94+G94,"")</f>
        <v/>
      </c>
      <c r="F94" s="41" t="str">
        <f aca="false">IF(AND(A94&lt;&gt;"",D94&gt;0.005),ROUND(D94*RP,2),"")</f>
        <v/>
      </c>
      <c r="G94" s="41" t="str">
        <f aca="false">IF(AND(A94&lt;&gt;"",D94&gt;0.005),IF(A94&lt;=Grace,0,IF(A94=NPer,D94,IF(Method="Equal principal (reducing payments)",MIN(ROUND(EqPrin,2),D94),MIN(ROUND(Annuity-F94,2),D94)))),"")</f>
        <v/>
      </c>
      <c r="H94" s="41" t="str">
        <f aca="false">IF(AND(A94&lt;&gt;"",D94&gt;0.005),IF(A94&lt;=Grace,0,MIN(Extra,D94-G94)),"")</f>
        <v/>
      </c>
      <c r="I94" s="41" t="str">
        <f aca="false">IF(AND(A94&lt;&gt;"",D94&gt;0.005),MIN(SUMIF(LumpN,A94,LumpAmt),D94-G94-H94),"")</f>
        <v/>
      </c>
      <c r="J94" s="42" t="str">
        <f aca="false">IF(AND(A94&lt;&gt;"",D94&gt;0.005),E94+H94+I94,"")</f>
        <v/>
      </c>
      <c r="K94" s="42" t="str">
        <f aca="false">IF(AND(A94&lt;&gt;"",D94&gt;0.005),ROUND(D94-G94-H94-I94,2),"")</f>
        <v/>
      </c>
      <c r="L94" s="41" t="str">
        <f aca="false">IF(AND(A94&lt;&gt;"",D94&gt;0.005),L93+F94,"")</f>
        <v/>
      </c>
      <c r="M94" s="41" t="str">
        <f aca="false">IF(AND(A94&lt;&gt;"",D94&gt;0.005),M93+G94+H94+I94,"")</f>
        <v/>
      </c>
      <c r="N94" s="43" t="str">
        <f aca="false">IF(B94="","",YEAR(B94))</f>
        <v/>
      </c>
      <c r="O94" s="44" t="n">
        <f aca="false">IF(AND(A94&lt;&gt;"",D94&gt;0.005),J94,0)</f>
        <v>0</v>
      </c>
      <c r="P94" s="44" t="n">
        <f aca="false">R93</f>
        <v>0</v>
      </c>
      <c r="Q94" s="44" t="n">
        <f aca="false">IF(AND(P94&gt;0.005,87&lt;=NPer),ROUND(P94*RP,2),0)</f>
        <v>0</v>
      </c>
      <c r="R94" s="44" t="n">
        <f aca="false">IF(AND(P94&gt;0.005,87&lt;=NPer),ROUND(P94-IF(87&lt;=Grace,0,IF(87=NPer,P94,IF(Method="Equal principal (reducing payments)",MIN(ROUND(EqPrin,2),P94),MIN(ROUND(Annuity-Q94,2),P94)))),2),0)</f>
        <v>0</v>
      </c>
    </row>
    <row r="95" customFormat="false" ht="15" hidden="false" customHeight="false" outlineLevel="0" collapsed="false">
      <c r="A95" s="38" t="str">
        <f aca="false">IF(AND(N(K94)&gt;0.005,A94&lt;NPer),A94+1,"")</f>
        <v/>
      </c>
      <c r="B95" s="39" t="str">
        <f aca="false">IF(A95="","",EDATE(Disb,A95*MPP))</f>
        <v/>
      </c>
      <c r="C95" s="40" t="str">
        <f aca="false">IF(A95="","",IF(A95&lt;=Grace,"Grace","Repayment"))</f>
        <v/>
      </c>
      <c r="D95" s="41" t="str">
        <f aca="false">IF(A95="","",K94)</f>
        <v/>
      </c>
      <c r="E95" s="41" t="str">
        <f aca="false">IF(AND(A95&lt;&gt;"",D95&gt;0.005),F95+G95,"")</f>
        <v/>
      </c>
      <c r="F95" s="41" t="str">
        <f aca="false">IF(AND(A95&lt;&gt;"",D95&gt;0.005),ROUND(D95*RP,2),"")</f>
        <v/>
      </c>
      <c r="G95" s="41" t="str">
        <f aca="false">IF(AND(A95&lt;&gt;"",D95&gt;0.005),IF(A95&lt;=Grace,0,IF(A95=NPer,D95,IF(Method="Equal principal (reducing payments)",MIN(ROUND(EqPrin,2),D95),MIN(ROUND(Annuity-F95,2),D95)))),"")</f>
        <v/>
      </c>
      <c r="H95" s="41" t="str">
        <f aca="false">IF(AND(A95&lt;&gt;"",D95&gt;0.005),IF(A95&lt;=Grace,0,MIN(Extra,D95-G95)),"")</f>
        <v/>
      </c>
      <c r="I95" s="41" t="str">
        <f aca="false">IF(AND(A95&lt;&gt;"",D95&gt;0.005),MIN(SUMIF(LumpN,A95,LumpAmt),D95-G95-H95),"")</f>
        <v/>
      </c>
      <c r="J95" s="42" t="str">
        <f aca="false">IF(AND(A95&lt;&gt;"",D95&gt;0.005),E95+H95+I95,"")</f>
        <v/>
      </c>
      <c r="K95" s="42" t="str">
        <f aca="false">IF(AND(A95&lt;&gt;"",D95&gt;0.005),ROUND(D95-G95-H95-I95,2),"")</f>
        <v/>
      </c>
      <c r="L95" s="41" t="str">
        <f aca="false">IF(AND(A95&lt;&gt;"",D95&gt;0.005),L94+F95,"")</f>
        <v/>
      </c>
      <c r="M95" s="41" t="str">
        <f aca="false">IF(AND(A95&lt;&gt;"",D95&gt;0.005),M94+G95+H95+I95,"")</f>
        <v/>
      </c>
      <c r="N95" s="43" t="str">
        <f aca="false">IF(B95="","",YEAR(B95))</f>
        <v/>
      </c>
      <c r="O95" s="44" t="n">
        <f aca="false">IF(AND(A95&lt;&gt;"",D95&gt;0.005),J95,0)</f>
        <v>0</v>
      </c>
      <c r="P95" s="44" t="n">
        <f aca="false">R94</f>
        <v>0</v>
      </c>
      <c r="Q95" s="44" t="n">
        <f aca="false">IF(AND(P95&gt;0.005,88&lt;=NPer),ROUND(P95*RP,2),0)</f>
        <v>0</v>
      </c>
      <c r="R95" s="44" t="n">
        <f aca="false">IF(AND(P95&gt;0.005,88&lt;=NPer),ROUND(P95-IF(88&lt;=Grace,0,IF(88=NPer,P95,IF(Method="Equal principal (reducing payments)",MIN(ROUND(EqPrin,2),P95),MIN(ROUND(Annuity-Q95,2),P95)))),2),0)</f>
        <v>0</v>
      </c>
    </row>
    <row r="96" customFormat="false" ht="15" hidden="false" customHeight="false" outlineLevel="0" collapsed="false">
      <c r="A96" s="38" t="str">
        <f aca="false">IF(AND(N(K95)&gt;0.005,A95&lt;NPer),A95+1,"")</f>
        <v/>
      </c>
      <c r="B96" s="39" t="str">
        <f aca="false">IF(A96="","",EDATE(Disb,A96*MPP))</f>
        <v/>
      </c>
      <c r="C96" s="40" t="str">
        <f aca="false">IF(A96="","",IF(A96&lt;=Grace,"Grace","Repayment"))</f>
        <v/>
      </c>
      <c r="D96" s="41" t="str">
        <f aca="false">IF(A96="","",K95)</f>
        <v/>
      </c>
      <c r="E96" s="41" t="str">
        <f aca="false">IF(AND(A96&lt;&gt;"",D96&gt;0.005),F96+G96,"")</f>
        <v/>
      </c>
      <c r="F96" s="41" t="str">
        <f aca="false">IF(AND(A96&lt;&gt;"",D96&gt;0.005),ROUND(D96*RP,2),"")</f>
        <v/>
      </c>
      <c r="G96" s="41" t="str">
        <f aca="false">IF(AND(A96&lt;&gt;"",D96&gt;0.005),IF(A96&lt;=Grace,0,IF(A96=NPer,D96,IF(Method="Equal principal (reducing payments)",MIN(ROUND(EqPrin,2),D96),MIN(ROUND(Annuity-F96,2),D96)))),"")</f>
        <v/>
      </c>
      <c r="H96" s="41" t="str">
        <f aca="false">IF(AND(A96&lt;&gt;"",D96&gt;0.005),IF(A96&lt;=Grace,0,MIN(Extra,D96-G96)),"")</f>
        <v/>
      </c>
      <c r="I96" s="41" t="str">
        <f aca="false">IF(AND(A96&lt;&gt;"",D96&gt;0.005),MIN(SUMIF(LumpN,A96,LumpAmt),D96-G96-H96),"")</f>
        <v/>
      </c>
      <c r="J96" s="42" t="str">
        <f aca="false">IF(AND(A96&lt;&gt;"",D96&gt;0.005),E96+H96+I96,"")</f>
        <v/>
      </c>
      <c r="K96" s="42" t="str">
        <f aca="false">IF(AND(A96&lt;&gt;"",D96&gt;0.005),ROUND(D96-G96-H96-I96,2),"")</f>
        <v/>
      </c>
      <c r="L96" s="41" t="str">
        <f aca="false">IF(AND(A96&lt;&gt;"",D96&gt;0.005),L95+F96,"")</f>
        <v/>
      </c>
      <c r="M96" s="41" t="str">
        <f aca="false">IF(AND(A96&lt;&gt;"",D96&gt;0.005),M95+G96+H96+I96,"")</f>
        <v/>
      </c>
      <c r="N96" s="43" t="str">
        <f aca="false">IF(B96="","",YEAR(B96))</f>
        <v/>
      </c>
      <c r="O96" s="44" t="n">
        <f aca="false">IF(AND(A96&lt;&gt;"",D96&gt;0.005),J96,0)</f>
        <v>0</v>
      </c>
      <c r="P96" s="44" t="n">
        <f aca="false">R95</f>
        <v>0</v>
      </c>
      <c r="Q96" s="44" t="n">
        <f aca="false">IF(AND(P96&gt;0.005,89&lt;=NPer),ROUND(P96*RP,2),0)</f>
        <v>0</v>
      </c>
      <c r="R96" s="44" t="n">
        <f aca="false">IF(AND(P96&gt;0.005,89&lt;=NPer),ROUND(P96-IF(89&lt;=Grace,0,IF(89=NPer,P96,IF(Method="Equal principal (reducing payments)",MIN(ROUND(EqPrin,2),P96),MIN(ROUND(Annuity-Q96,2),P96)))),2),0)</f>
        <v>0</v>
      </c>
    </row>
    <row r="97" customFormat="false" ht="15" hidden="false" customHeight="false" outlineLevel="0" collapsed="false">
      <c r="A97" s="38" t="str">
        <f aca="false">IF(AND(N(K96)&gt;0.005,A96&lt;NPer),A96+1,"")</f>
        <v/>
      </c>
      <c r="B97" s="39" t="str">
        <f aca="false">IF(A97="","",EDATE(Disb,A97*MPP))</f>
        <v/>
      </c>
      <c r="C97" s="40" t="str">
        <f aca="false">IF(A97="","",IF(A97&lt;=Grace,"Grace","Repayment"))</f>
        <v/>
      </c>
      <c r="D97" s="41" t="str">
        <f aca="false">IF(A97="","",K96)</f>
        <v/>
      </c>
      <c r="E97" s="41" t="str">
        <f aca="false">IF(AND(A97&lt;&gt;"",D97&gt;0.005),F97+G97,"")</f>
        <v/>
      </c>
      <c r="F97" s="41" t="str">
        <f aca="false">IF(AND(A97&lt;&gt;"",D97&gt;0.005),ROUND(D97*RP,2),"")</f>
        <v/>
      </c>
      <c r="G97" s="41" t="str">
        <f aca="false">IF(AND(A97&lt;&gt;"",D97&gt;0.005),IF(A97&lt;=Grace,0,IF(A97=NPer,D97,IF(Method="Equal principal (reducing payments)",MIN(ROUND(EqPrin,2),D97),MIN(ROUND(Annuity-F97,2),D97)))),"")</f>
        <v/>
      </c>
      <c r="H97" s="41" t="str">
        <f aca="false">IF(AND(A97&lt;&gt;"",D97&gt;0.005),IF(A97&lt;=Grace,0,MIN(Extra,D97-G97)),"")</f>
        <v/>
      </c>
      <c r="I97" s="41" t="str">
        <f aca="false">IF(AND(A97&lt;&gt;"",D97&gt;0.005),MIN(SUMIF(LumpN,A97,LumpAmt),D97-G97-H97),"")</f>
        <v/>
      </c>
      <c r="J97" s="42" t="str">
        <f aca="false">IF(AND(A97&lt;&gt;"",D97&gt;0.005),E97+H97+I97,"")</f>
        <v/>
      </c>
      <c r="K97" s="42" t="str">
        <f aca="false">IF(AND(A97&lt;&gt;"",D97&gt;0.005),ROUND(D97-G97-H97-I97,2),"")</f>
        <v/>
      </c>
      <c r="L97" s="41" t="str">
        <f aca="false">IF(AND(A97&lt;&gt;"",D97&gt;0.005),L96+F97,"")</f>
        <v/>
      </c>
      <c r="M97" s="41" t="str">
        <f aca="false">IF(AND(A97&lt;&gt;"",D97&gt;0.005),M96+G97+H97+I97,"")</f>
        <v/>
      </c>
      <c r="N97" s="43" t="str">
        <f aca="false">IF(B97="","",YEAR(B97))</f>
        <v/>
      </c>
      <c r="O97" s="44" t="n">
        <f aca="false">IF(AND(A97&lt;&gt;"",D97&gt;0.005),J97,0)</f>
        <v>0</v>
      </c>
      <c r="P97" s="44" t="n">
        <f aca="false">R96</f>
        <v>0</v>
      </c>
      <c r="Q97" s="44" t="n">
        <f aca="false">IF(AND(P97&gt;0.005,90&lt;=NPer),ROUND(P97*RP,2),0)</f>
        <v>0</v>
      </c>
      <c r="R97" s="44" t="n">
        <f aca="false">IF(AND(P97&gt;0.005,90&lt;=NPer),ROUND(P97-IF(90&lt;=Grace,0,IF(90=NPer,P97,IF(Method="Equal principal (reducing payments)",MIN(ROUND(EqPrin,2),P97),MIN(ROUND(Annuity-Q97,2),P97)))),2),0)</f>
        <v>0</v>
      </c>
    </row>
    <row r="98" customFormat="false" ht="15" hidden="false" customHeight="false" outlineLevel="0" collapsed="false">
      <c r="A98" s="38" t="str">
        <f aca="false">IF(AND(N(K97)&gt;0.005,A97&lt;NPer),A97+1,"")</f>
        <v/>
      </c>
      <c r="B98" s="39" t="str">
        <f aca="false">IF(A98="","",EDATE(Disb,A98*MPP))</f>
        <v/>
      </c>
      <c r="C98" s="40" t="str">
        <f aca="false">IF(A98="","",IF(A98&lt;=Grace,"Grace","Repayment"))</f>
        <v/>
      </c>
      <c r="D98" s="41" t="str">
        <f aca="false">IF(A98="","",K97)</f>
        <v/>
      </c>
      <c r="E98" s="41" t="str">
        <f aca="false">IF(AND(A98&lt;&gt;"",D98&gt;0.005),F98+G98,"")</f>
        <v/>
      </c>
      <c r="F98" s="41" t="str">
        <f aca="false">IF(AND(A98&lt;&gt;"",D98&gt;0.005),ROUND(D98*RP,2),"")</f>
        <v/>
      </c>
      <c r="G98" s="41" t="str">
        <f aca="false">IF(AND(A98&lt;&gt;"",D98&gt;0.005),IF(A98&lt;=Grace,0,IF(A98=NPer,D98,IF(Method="Equal principal (reducing payments)",MIN(ROUND(EqPrin,2),D98),MIN(ROUND(Annuity-F98,2),D98)))),"")</f>
        <v/>
      </c>
      <c r="H98" s="41" t="str">
        <f aca="false">IF(AND(A98&lt;&gt;"",D98&gt;0.005),IF(A98&lt;=Grace,0,MIN(Extra,D98-G98)),"")</f>
        <v/>
      </c>
      <c r="I98" s="41" t="str">
        <f aca="false">IF(AND(A98&lt;&gt;"",D98&gt;0.005),MIN(SUMIF(LumpN,A98,LumpAmt),D98-G98-H98),"")</f>
        <v/>
      </c>
      <c r="J98" s="42" t="str">
        <f aca="false">IF(AND(A98&lt;&gt;"",D98&gt;0.005),E98+H98+I98,"")</f>
        <v/>
      </c>
      <c r="K98" s="42" t="str">
        <f aca="false">IF(AND(A98&lt;&gt;"",D98&gt;0.005),ROUND(D98-G98-H98-I98,2),"")</f>
        <v/>
      </c>
      <c r="L98" s="41" t="str">
        <f aca="false">IF(AND(A98&lt;&gt;"",D98&gt;0.005),L97+F98,"")</f>
        <v/>
      </c>
      <c r="M98" s="41" t="str">
        <f aca="false">IF(AND(A98&lt;&gt;"",D98&gt;0.005),M97+G98+H98+I98,"")</f>
        <v/>
      </c>
      <c r="N98" s="43" t="str">
        <f aca="false">IF(B98="","",YEAR(B98))</f>
        <v/>
      </c>
      <c r="O98" s="44" t="n">
        <f aca="false">IF(AND(A98&lt;&gt;"",D98&gt;0.005),J98,0)</f>
        <v>0</v>
      </c>
      <c r="P98" s="44" t="n">
        <f aca="false">R97</f>
        <v>0</v>
      </c>
      <c r="Q98" s="44" t="n">
        <f aca="false">IF(AND(P98&gt;0.005,91&lt;=NPer),ROUND(P98*RP,2),0)</f>
        <v>0</v>
      </c>
      <c r="R98" s="44" t="n">
        <f aca="false">IF(AND(P98&gt;0.005,91&lt;=NPer),ROUND(P98-IF(91&lt;=Grace,0,IF(91=NPer,P98,IF(Method="Equal principal (reducing payments)",MIN(ROUND(EqPrin,2),P98),MIN(ROUND(Annuity-Q98,2),P98)))),2),0)</f>
        <v>0</v>
      </c>
    </row>
    <row r="99" customFormat="false" ht="15" hidden="false" customHeight="false" outlineLevel="0" collapsed="false">
      <c r="A99" s="38" t="str">
        <f aca="false">IF(AND(N(K98)&gt;0.005,A98&lt;NPer),A98+1,"")</f>
        <v/>
      </c>
      <c r="B99" s="39" t="str">
        <f aca="false">IF(A99="","",EDATE(Disb,A99*MPP))</f>
        <v/>
      </c>
      <c r="C99" s="40" t="str">
        <f aca="false">IF(A99="","",IF(A99&lt;=Grace,"Grace","Repayment"))</f>
        <v/>
      </c>
      <c r="D99" s="41" t="str">
        <f aca="false">IF(A99="","",K98)</f>
        <v/>
      </c>
      <c r="E99" s="41" t="str">
        <f aca="false">IF(AND(A99&lt;&gt;"",D99&gt;0.005),F99+G99,"")</f>
        <v/>
      </c>
      <c r="F99" s="41" t="str">
        <f aca="false">IF(AND(A99&lt;&gt;"",D99&gt;0.005),ROUND(D99*RP,2),"")</f>
        <v/>
      </c>
      <c r="G99" s="41" t="str">
        <f aca="false">IF(AND(A99&lt;&gt;"",D99&gt;0.005),IF(A99&lt;=Grace,0,IF(A99=NPer,D99,IF(Method="Equal principal (reducing payments)",MIN(ROUND(EqPrin,2),D99),MIN(ROUND(Annuity-F99,2),D99)))),"")</f>
        <v/>
      </c>
      <c r="H99" s="41" t="str">
        <f aca="false">IF(AND(A99&lt;&gt;"",D99&gt;0.005),IF(A99&lt;=Grace,0,MIN(Extra,D99-G99)),"")</f>
        <v/>
      </c>
      <c r="I99" s="41" t="str">
        <f aca="false">IF(AND(A99&lt;&gt;"",D99&gt;0.005),MIN(SUMIF(LumpN,A99,LumpAmt),D99-G99-H99),"")</f>
        <v/>
      </c>
      <c r="J99" s="42" t="str">
        <f aca="false">IF(AND(A99&lt;&gt;"",D99&gt;0.005),E99+H99+I99,"")</f>
        <v/>
      </c>
      <c r="K99" s="42" t="str">
        <f aca="false">IF(AND(A99&lt;&gt;"",D99&gt;0.005),ROUND(D99-G99-H99-I99,2),"")</f>
        <v/>
      </c>
      <c r="L99" s="41" t="str">
        <f aca="false">IF(AND(A99&lt;&gt;"",D99&gt;0.005),L98+F99,"")</f>
        <v/>
      </c>
      <c r="M99" s="41" t="str">
        <f aca="false">IF(AND(A99&lt;&gt;"",D99&gt;0.005),M98+G99+H99+I99,"")</f>
        <v/>
      </c>
      <c r="N99" s="43" t="str">
        <f aca="false">IF(B99="","",YEAR(B99))</f>
        <v/>
      </c>
      <c r="O99" s="44" t="n">
        <f aca="false">IF(AND(A99&lt;&gt;"",D99&gt;0.005),J99,0)</f>
        <v>0</v>
      </c>
      <c r="P99" s="44" t="n">
        <f aca="false">R98</f>
        <v>0</v>
      </c>
      <c r="Q99" s="44" t="n">
        <f aca="false">IF(AND(P99&gt;0.005,92&lt;=NPer),ROUND(P99*RP,2),0)</f>
        <v>0</v>
      </c>
      <c r="R99" s="44" t="n">
        <f aca="false">IF(AND(P99&gt;0.005,92&lt;=NPer),ROUND(P99-IF(92&lt;=Grace,0,IF(92=NPer,P99,IF(Method="Equal principal (reducing payments)",MIN(ROUND(EqPrin,2),P99),MIN(ROUND(Annuity-Q99,2),P99)))),2),0)</f>
        <v>0</v>
      </c>
    </row>
    <row r="100" customFormat="false" ht="15" hidden="false" customHeight="false" outlineLevel="0" collapsed="false">
      <c r="A100" s="38" t="str">
        <f aca="false">IF(AND(N(K99)&gt;0.005,A99&lt;NPer),A99+1,"")</f>
        <v/>
      </c>
      <c r="B100" s="39" t="str">
        <f aca="false">IF(A100="","",EDATE(Disb,A100*MPP))</f>
        <v/>
      </c>
      <c r="C100" s="40" t="str">
        <f aca="false">IF(A100="","",IF(A100&lt;=Grace,"Grace","Repayment"))</f>
        <v/>
      </c>
      <c r="D100" s="41" t="str">
        <f aca="false">IF(A100="","",K99)</f>
        <v/>
      </c>
      <c r="E100" s="41" t="str">
        <f aca="false">IF(AND(A100&lt;&gt;"",D100&gt;0.005),F100+G100,"")</f>
        <v/>
      </c>
      <c r="F100" s="41" t="str">
        <f aca="false">IF(AND(A100&lt;&gt;"",D100&gt;0.005),ROUND(D100*RP,2),"")</f>
        <v/>
      </c>
      <c r="G100" s="41" t="str">
        <f aca="false">IF(AND(A100&lt;&gt;"",D100&gt;0.005),IF(A100&lt;=Grace,0,IF(A100=NPer,D100,IF(Method="Equal principal (reducing payments)",MIN(ROUND(EqPrin,2),D100),MIN(ROUND(Annuity-F100,2),D100)))),"")</f>
        <v/>
      </c>
      <c r="H100" s="41" t="str">
        <f aca="false">IF(AND(A100&lt;&gt;"",D100&gt;0.005),IF(A100&lt;=Grace,0,MIN(Extra,D100-G100)),"")</f>
        <v/>
      </c>
      <c r="I100" s="41" t="str">
        <f aca="false">IF(AND(A100&lt;&gt;"",D100&gt;0.005),MIN(SUMIF(LumpN,A100,LumpAmt),D100-G100-H100),"")</f>
        <v/>
      </c>
      <c r="J100" s="42" t="str">
        <f aca="false">IF(AND(A100&lt;&gt;"",D100&gt;0.005),E100+H100+I100,"")</f>
        <v/>
      </c>
      <c r="K100" s="42" t="str">
        <f aca="false">IF(AND(A100&lt;&gt;"",D100&gt;0.005),ROUND(D100-G100-H100-I100,2),"")</f>
        <v/>
      </c>
      <c r="L100" s="41" t="str">
        <f aca="false">IF(AND(A100&lt;&gt;"",D100&gt;0.005),L99+F100,"")</f>
        <v/>
      </c>
      <c r="M100" s="41" t="str">
        <f aca="false">IF(AND(A100&lt;&gt;"",D100&gt;0.005),M99+G100+H100+I100,"")</f>
        <v/>
      </c>
      <c r="N100" s="43" t="str">
        <f aca="false">IF(B100="","",YEAR(B100))</f>
        <v/>
      </c>
      <c r="O100" s="44" t="n">
        <f aca="false">IF(AND(A100&lt;&gt;"",D100&gt;0.005),J100,0)</f>
        <v>0</v>
      </c>
      <c r="P100" s="44" t="n">
        <f aca="false">R99</f>
        <v>0</v>
      </c>
      <c r="Q100" s="44" t="n">
        <f aca="false">IF(AND(P100&gt;0.005,93&lt;=NPer),ROUND(P100*RP,2),0)</f>
        <v>0</v>
      </c>
      <c r="R100" s="44" t="n">
        <f aca="false">IF(AND(P100&gt;0.005,93&lt;=NPer),ROUND(P100-IF(93&lt;=Grace,0,IF(93=NPer,P100,IF(Method="Equal principal (reducing payments)",MIN(ROUND(EqPrin,2),P100),MIN(ROUND(Annuity-Q100,2),P100)))),2),0)</f>
        <v>0</v>
      </c>
    </row>
    <row r="101" customFormat="false" ht="15" hidden="false" customHeight="false" outlineLevel="0" collapsed="false">
      <c r="A101" s="38" t="str">
        <f aca="false">IF(AND(N(K100)&gt;0.005,A100&lt;NPer),A100+1,"")</f>
        <v/>
      </c>
      <c r="B101" s="39" t="str">
        <f aca="false">IF(A101="","",EDATE(Disb,A101*MPP))</f>
        <v/>
      </c>
      <c r="C101" s="40" t="str">
        <f aca="false">IF(A101="","",IF(A101&lt;=Grace,"Grace","Repayment"))</f>
        <v/>
      </c>
      <c r="D101" s="41" t="str">
        <f aca="false">IF(A101="","",K100)</f>
        <v/>
      </c>
      <c r="E101" s="41" t="str">
        <f aca="false">IF(AND(A101&lt;&gt;"",D101&gt;0.005),F101+G101,"")</f>
        <v/>
      </c>
      <c r="F101" s="41" t="str">
        <f aca="false">IF(AND(A101&lt;&gt;"",D101&gt;0.005),ROUND(D101*RP,2),"")</f>
        <v/>
      </c>
      <c r="G101" s="41" t="str">
        <f aca="false">IF(AND(A101&lt;&gt;"",D101&gt;0.005),IF(A101&lt;=Grace,0,IF(A101=NPer,D101,IF(Method="Equal principal (reducing payments)",MIN(ROUND(EqPrin,2),D101),MIN(ROUND(Annuity-F101,2),D101)))),"")</f>
        <v/>
      </c>
      <c r="H101" s="41" t="str">
        <f aca="false">IF(AND(A101&lt;&gt;"",D101&gt;0.005),IF(A101&lt;=Grace,0,MIN(Extra,D101-G101)),"")</f>
        <v/>
      </c>
      <c r="I101" s="41" t="str">
        <f aca="false">IF(AND(A101&lt;&gt;"",D101&gt;0.005),MIN(SUMIF(LumpN,A101,LumpAmt),D101-G101-H101),"")</f>
        <v/>
      </c>
      <c r="J101" s="42" t="str">
        <f aca="false">IF(AND(A101&lt;&gt;"",D101&gt;0.005),E101+H101+I101,"")</f>
        <v/>
      </c>
      <c r="K101" s="42" t="str">
        <f aca="false">IF(AND(A101&lt;&gt;"",D101&gt;0.005),ROUND(D101-G101-H101-I101,2),"")</f>
        <v/>
      </c>
      <c r="L101" s="41" t="str">
        <f aca="false">IF(AND(A101&lt;&gt;"",D101&gt;0.005),L100+F101,"")</f>
        <v/>
      </c>
      <c r="M101" s="41" t="str">
        <f aca="false">IF(AND(A101&lt;&gt;"",D101&gt;0.005),M100+G101+H101+I101,"")</f>
        <v/>
      </c>
      <c r="N101" s="43" t="str">
        <f aca="false">IF(B101="","",YEAR(B101))</f>
        <v/>
      </c>
      <c r="O101" s="44" t="n">
        <f aca="false">IF(AND(A101&lt;&gt;"",D101&gt;0.005),J101,0)</f>
        <v>0</v>
      </c>
      <c r="P101" s="44" t="n">
        <f aca="false">R100</f>
        <v>0</v>
      </c>
      <c r="Q101" s="44" t="n">
        <f aca="false">IF(AND(P101&gt;0.005,94&lt;=NPer),ROUND(P101*RP,2),0)</f>
        <v>0</v>
      </c>
      <c r="R101" s="44" t="n">
        <f aca="false">IF(AND(P101&gt;0.005,94&lt;=NPer),ROUND(P101-IF(94&lt;=Grace,0,IF(94=NPer,P101,IF(Method="Equal principal (reducing payments)",MIN(ROUND(EqPrin,2),P101),MIN(ROUND(Annuity-Q101,2),P101)))),2),0)</f>
        <v>0</v>
      </c>
    </row>
    <row r="102" customFormat="false" ht="15" hidden="false" customHeight="false" outlineLevel="0" collapsed="false">
      <c r="A102" s="38" t="str">
        <f aca="false">IF(AND(N(K101)&gt;0.005,A101&lt;NPer),A101+1,"")</f>
        <v/>
      </c>
      <c r="B102" s="39" t="str">
        <f aca="false">IF(A102="","",EDATE(Disb,A102*MPP))</f>
        <v/>
      </c>
      <c r="C102" s="40" t="str">
        <f aca="false">IF(A102="","",IF(A102&lt;=Grace,"Grace","Repayment"))</f>
        <v/>
      </c>
      <c r="D102" s="41" t="str">
        <f aca="false">IF(A102="","",K101)</f>
        <v/>
      </c>
      <c r="E102" s="41" t="str">
        <f aca="false">IF(AND(A102&lt;&gt;"",D102&gt;0.005),F102+G102,"")</f>
        <v/>
      </c>
      <c r="F102" s="41" t="str">
        <f aca="false">IF(AND(A102&lt;&gt;"",D102&gt;0.005),ROUND(D102*RP,2),"")</f>
        <v/>
      </c>
      <c r="G102" s="41" t="str">
        <f aca="false">IF(AND(A102&lt;&gt;"",D102&gt;0.005),IF(A102&lt;=Grace,0,IF(A102=NPer,D102,IF(Method="Equal principal (reducing payments)",MIN(ROUND(EqPrin,2),D102),MIN(ROUND(Annuity-F102,2),D102)))),"")</f>
        <v/>
      </c>
      <c r="H102" s="41" t="str">
        <f aca="false">IF(AND(A102&lt;&gt;"",D102&gt;0.005),IF(A102&lt;=Grace,0,MIN(Extra,D102-G102)),"")</f>
        <v/>
      </c>
      <c r="I102" s="41" t="str">
        <f aca="false">IF(AND(A102&lt;&gt;"",D102&gt;0.005),MIN(SUMIF(LumpN,A102,LumpAmt),D102-G102-H102),"")</f>
        <v/>
      </c>
      <c r="J102" s="42" t="str">
        <f aca="false">IF(AND(A102&lt;&gt;"",D102&gt;0.005),E102+H102+I102,"")</f>
        <v/>
      </c>
      <c r="K102" s="42" t="str">
        <f aca="false">IF(AND(A102&lt;&gt;"",D102&gt;0.005),ROUND(D102-G102-H102-I102,2),"")</f>
        <v/>
      </c>
      <c r="L102" s="41" t="str">
        <f aca="false">IF(AND(A102&lt;&gt;"",D102&gt;0.005),L101+F102,"")</f>
        <v/>
      </c>
      <c r="M102" s="41" t="str">
        <f aca="false">IF(AND(A102&lt;&gt;"",D102&gt;0.005),M101+G102+H102+I102,"")</f>
        <v/>
      </c>
      <c r="N102" s="43" t="str">
        <f aca="false">IF(B102="","",YEAR(B102))</f>
        <v/>
      </c>
      <c r="O102" s="44" t="n">
        <f aca="false">IF(AND(A102&lt;&gt;"",D102&gt;0.005),J102,0)</f>
        <v>0</v>
      </c>
      <c r="P102" s="44" t="n">
        <f aca="false">R101</f>
        <v>0</v>
      </c>
      <c r="Q102" s="44" t="n">
        <f aca="false">IF(AND(P102&gt;0.005,95&lt;=NPer),ROUND(P102*RP,2),0)</f>
        <v>0</v>
      </c>
      <c r="R102" s="44" t="n">
        <f aca="false">IF(AND(P102&gt;0.005,95&lt;=NPer),ROUND(P102-IF(95&lt;=Grace,0,IF(95=NPer,P102,IF(Method="Equal principal (reducing payments)",MIN(ROUND(EqPrin,2),P102),MIN(ROUND(Annuity-Q102,2),P102)))),2),0)</f>
        <v>0</v>
      </c>
    </row>
    <row r="103" customFormat="false" ht="15" hidden="false" customHeight="false" outlineLevel="0" collapsed="false">
      <c r="A103" s="38" t="str">
        <f aca="false">IF(AND(N(K102)&gt;0.005,A102&lt;NPer),A102+1,"")</f>
        <v/>
      </c>
      <c r="B103" s="39" t="str">
        <f aca="false">IF(A103="","",EDATE(Disb,A103*MPP))</f>
        <v/>
      </c>
      <c r="C103" s="40" t="str">
        <f aca="false">IF(A103="","",IF(A103&lt;=Grace,"Grace","Repayment"))</f>
        <v/>
      </c>
      <c r="D103" s="41" t="str">
        <f aca="false">IF(A103="","",K102)</f>
        <v/>
      </c>
      <c r="E103" s="41" t="str">
        <f aca="false">IF(AND(A103&lt;&gt;"",D103&gt;0.005),F103+G103,"")</f>
        <v/>
      </c>
      <c r="F103" s="41" t="str">
        <f aca="false">IF(AND(A103&lt;&gt;"",D103&gt;0.005),ROUND(D103*RP,2),"")</f>
        <v/>
      </c>
      <c r="G103" s="41" t="str">
        <f aca="false">IF(AND(A103&lt;&gt;"",D103&gt;0.005),IF(A103&lt;=Grace,0,IF(A103=NPer,D103,IF(Method="Equal principal (reducing payments)",MIN(ROUND(EqPrin,2),D103),MIN(ROUND(Annuity-F103,2),D103)))),"")</f>
        <v/>
      </c>
      <c r="H103" s="41" t="str">
        <f aca="false">IF(AND(A103&lt;&gt;"",D103&gt;0.005),IF(A103&lt;=Grace,0,MIN(Extra,D103-G103)),"")</f>
        <v/>
      </c>
      <c r="I103" s="41" t="str">
        <f aca="false">IF(AND(A103&lt;&gt;"",D103&gt;0.005),MIN(SUMIF(LumpN,A103,LumpAmt),D103-G103-H103),"")</f>
        <v/>
      </c>
      <c r="J103" s="42" t="str">
        <f aca="false">IF(AND(A103&lt;&gt;"",D103&gt;0.005),E103+H103+I103,"")</f>
        <v/>
      </c>
      <c r="K103" s="42" t="str">
        <f aca="false">IF(AND(A103&lt;&gt;"",D103&gt;0.005),ROUND(D103-G103-H103-I103,2),"")</f>
        <v/>
      </c>
      <c r="L103" s="41" t="str">
        <f aca="false">IF(AND(A103&lt;&gt;"",D103&gt;0.005),L102+F103,"")</f>
        <v/>
      </c>
      <c r="M103" s="41" t="str">
        <f aca="false">IF(AND(A103&lt;&gt;"",D103&gt;0.005),M102+G103+H103+I103,"")</f>
        <v/>
      </c>
      <c r="N103" s="43" t="str">
        <f aca="false">IF(B103="","",YEAR(B103))</f>
        <v/>
      </c>
      <c r="O103" s="44" t="n">
        <f aca="false">IF(AND(A103&lt;&gt;"",D103&gt;0.005),J103,0)</f>
        <v>0</v>
      </c>
      <c r="P103" s="44" t="n">
        <f aca="false">R102</f>
        <v>0</v>
      </c>
      <c r="Q103" s="44" t="n">
        <f aca="false">IF(AND(P103&gt;0.005,96&lt;=NPer),ROUND(P103*RP,2),0)</f>
        <v>0</v>
      </c>
      <c r="R103" s="44" t="n">
        <f aca="false">IF(AND(P103&gt;0.005,96&lt;=NPer),ROUND(P103-IF(96&lt;=Grace,0,IF(96=NPer,P103,IF(Method="Equal principal (reducing payments)",MIN(ROUND(EqPrin,2),P103),MIN(ROUND(Annuity-Q103,2),P103)))),2),0)</f>
        <v>0</v>
      </c>
    </row>
    <row r="104" customFormat="false" ht="15" hidden="false" customHeight="false" outlineLevel="0" collapsed="false">
      <c r="A104" s="38" t="str">
        <f aca="false">IF(AND(N(K103)&gt;0.005,A103&lt;NPer),A103+1,"")</f>
        <v/>
      </c>
      <c r="B104" s="39" t="str">
        <f aca="false">IF(A104="","",EDATE(Disb,A104*MPP))</f>
        <v/>
      </c>
      <c r="C104" s="40" t="str">
        <f aca="false">IF(A104="","",IF(A104&lt;=Grace,"Grace","Repayment"))</f>
        <v/>
      </c>
      <c r="D104" s="41" t="str">
        <f aca="false">IF(A104="","",K103)</f>
        <v/>
      </c>
      <c r="E104" s="41" t="str">
        <f aca="false">IF(AND(A104&lt;&gt;"",D104&gt;0.005),F104+G104,"")</f>
        <v/>
      </c>
      <c r="F104" s="41" t="str">
        <f aca="false">IF(AND(A104&lt;&gt;"",D104&gt;0.005),ROUND(D104*RP,2),"")</f>
        <v/>
      </c>
      <c r="G104" s="41" t="str">
        <f aca="false">IF(AND(A104&lt;&gt;"",D104&gt;0.005),IF(A104&lt;=Grace,0,IF(A104=NPer,D104,IF(Method="Equal principal (reducing payments)",MIN(ROUND(EqPrin,2),D104),MIN(ROUND(Annuity-F104,2),D104)))),"")</f>
        <v/>
      </c>
      <c r="H104" s="41" t="str">
        <f aca="false">IF(AND(A104&lt;&gt;"",D104&gt;0.005),IF(A104&lt;=Grace,0,MIN(Extra,D104-G104)),"")</f>
        <v/>
      </c>
      <c r="I104" s="41" t="str">
        <f aca="false">IF(AND(A104&lt;&gt;"",D104&gt;0.005),MIN(SUMIF(LumpN,A104,LumpAmt),D104-G104-H104),"")</f>
        <v/>
      </c>
      <c r="J104" s="42" t="str">
        <f aca="false">IF(AND(A104&lt;&gt;"",D104&gt;0.005),E104+H104+I104,"")</f>
        <v/>
      </c>
      <c r="K104" s="42" t="str">
        <f aca="false">IF(AND(A104&lt;&gt;"",D104&gt;0.005),ROUND(D104-G104-H104-I104,2),"")</f>
        <v/>
      </c>
      <c r="L104" s="41" t="str">
        <f aca="false">IF(AND(A104&lt;&gt;"",D104&gt;0.005),L103+F104,"")</f>
        <v/>
      </c>
      <c r="M104" s="41" t="str">
        <f aca="false">IF(AND(A104&lt;&gt;"",D104&gt;0.005),M103+G104+H104+I104,"")</f>
        <v/>
      </c>
      <c r="N104" s="43" t="str">
        <f aca="false">IF(B104="","",YEAR(B104))</f>
        <v/>
      </c>
      <c r="O104" s="44" t="n">
        <f aca="false">IF(AND(A104&lt;&gt;"",D104&gt;0.005),J104,0)</f>
        <v>0</v>
      </c>
      <c r="P104" s="44" t="n">
        <f aca="false">R103</f>
        <v>0</v>
      </c>
      <c r="Q104" s="44" t="n">
        <f aca="false">IF(AND(P104&gt;0.005,97&lt;=NPer),ROUND(P104*RP,2),0)</f>
        <v>0</v>
      </c>
      <c r="R104" s="44" t="n">
        <f aca="false">IF(AND(P104&gt;0.005,97&lt;=NPer),ROUND(P104-IF(97&lt;=Grace,0,IF(97=NPer,P104,IF(Method="Equal principal (reducing payments)",MIN(ROUND(EqPrin,2),P104),MIN(ROUND(Annuity-Q104,2),P104)))),2),0)</f>
        <v>0</v>
      </c>
    </row>
    <row r="105" customFormat="false" ht="15" hidden="false" customHeight="false" outlineLevel="0" collapsed="false">
      <c r="A105" s="38" t="str">
        <f aca="false">IF(AND(N(K104)&gt;0.005,A104&lt;NPer),A104+1,"")</f>
        <v/>
      </c>
      <c r="B105" s="39" t="str">
        <f aca="false">IF(A105="","",EDATE(Disb,A105*MPP))</f>
        <v/>
      </c>
      <c r="C105" s="40" t="str">
        <f aca="false">IF(A105="","",IF(A105&lt;=Grace,"Grace","Repayment"))</f>
        <v/>
      </c>
      <c r="D105" s="41" t="str">
        <f aca="false">IF(A105="","",K104)</f>
        <v/>
      </c>
      <c r="E105" s="41" t="str">
        <f aca="false">IF(AND(A105&lt;&gt;"",D105&gt;0.005),F105+G105,"")</f>
        <v/>
      </c>
      <c r="F105" s="41" t="str">
        <f aca="false">IF(AND(A105&lt;&gt;"",D105&gt;0.005),ROUND(D105*RP,2),"")</f>
        <v/>
      </c>
      <c r="G105" s="41" t="str">
        <f aca="false">IF(AND(A105&lt;&gt;"",D105&gt;0.005),IF(A105&lt;=Grace,0,IF(A105=NPer,D105,IF(Method="Equal principal (reducing payments)",MIN(ROUND(EqPrin,2),D105),MIN(ROUND(Annuity-F105,2),D105)))),"")</f>
        <v/>
      </c>
      <c r="H105" s="41" t="str">
        <f aca="false">IF(AND(A105&lt;&gt;"",D105&gt;0.005),IF(A105&lt;=Grace,0,MIN(Extra,D105-G105)),"")</f>
        <v/>
      </c>
      <c r="I105" s="41" t="str">
        <f aca="false">IF(AND(A105&lt;&gt;"",D105&gt;0.005),MIN(SUMIF(LumpN,A105,LumpAmt),D105-G105-H105),"")</f>
        <v/>
      </c>
      <c r="J105" s="42" t="str">
        <f aca="false">IF(AND(A105&lt;&gt;"",D105&gt;0.005),E105+H105+I105,"")</f>
        <v/>
      </c>
      <c r="K105" s="42" t="str">
        <f aca="false">IF(AND(A105&lt;&gt;"",D105&gt;0.005),ROUND(D105-G105-H105-I105,2),"")</f>
        <v/>
      </c>
      <c r="L105" s="41" t="str">
        <f aca="false">IF(AND(A105&lt;&gt;"",D105&gt;0.005),L104+F105,"")</f>
        <v/>
      </c>
      <c r="M105" s="41" t="str">
        <f aca="false">IF(AND(A105&lt;&gt;"",D105&gt;0.005),M104+G105+H105+I105,"")</f>
        <v/>
      </c>
      <c r="N105" s="43" t="str">
        <f aca="false">IF(B105="","",YEAR(B105))</f>
        <v/>
      </c>
      <c r="O105" s="44" t="n">
        <f aca="false">IF(AND(A105&lt;&gt;"",D105&gt;0.005),J105,0)</f>
        <v>0</v>
      </c>
      <c r="P105" s="44" t="n">
        <f aca="false">R104</f>
        <v>0</v>
      </c>
      <c r="Q105" s="44" t="n">
        <f aca="false">IF(AND(P105&gt;0.005,98&lt;=NPer),ROUND(P105*RP,2),0)</f>
        <v>0</v>
      </c>
      <c r="R105" s="44" t="n">
        <f aca="false">IF(AND(P105&gt;0.005,98&lt;=NPer),ROUND(P105-IF(98&lt;=Grace,0,IF(98=NPer,P105,IF(Method="Equal principal (reducing payments)",MIN(ROUND(EqPrin,2),P105),MIN(ROUND(Annuity-Q105,2),P105)))),2),0)</f>
        <v>0</v>
      </c>
    </row>
    <row r="106" customFormat="false" ht="15" hidden="false" customHeight="false" outlineLevel="0" collapsed="false">
      <c r="A106" s="38" t="str">
        <f aca="false">IF(AND(N(K105)&gt;0.005,A105&lt;NPer),A105+1,"")</f>
        <v/>
      </c>
      <c r="B106" s="39" t="str">
        <f aca="false">IF(A106="","",EDATE(Disb,A106*MPP))</f>
        <v/>
      </c>
      <c r="C106" s="40" t="str">
        <f aca="false">IF(A106="","",IF(A106&lt;=Grace,"Grace","Repayment"))</f>
        <v/>
      </c>
      <c r="D106" s="41" t="str">
        <f aca="false">IF(A106="","",K105)</f>
        <v/>
      </c>
      <c r="E106" s="41" t="str">
        <f aca="false">IF(AND(A106&lt;&gt;"",D106&gt;0.005),F106+G106,"")</f>
        <v/>
      </c>
      <c r="F106" s="41" t="str">
        <f aca="false">IF(AND(A106&lt;&gt;"",D106&gt;0.005),ROUND(D106*RP,2),"")</f>
        <v/>
      </c>
      <c r="G106" s="41" t="str">
        <f aca="false">IF(AND(A106&lt;&gt;"",D106&gt;0.005),IF(A106&lt;=Grace,0,IF(A106=NPer,D106,IF(Method="Equal principal (reducing payments)",MIN(ROUND(EqPrin,2),D106),MIN(ROUND(Annuity-F106,2),D106)))),"")</f>
        <v/>
      </c>
      <c r="H106" s="41" t="str">
        <f aca="false">IF(AND(A106&lt;&gt;"",D106&gt;0.005),IF(A106&lt;=Grace,0,MIN(Extra,D106-G106)),"")</f>
        <v/>
      </c>
      <c r="I106" s="41" t="str">
        <f aca="false">IF(AND(A106&lt;&gt;"",D106&gt;0.005),MIN(SUMIF(LumpN,A106,LumpAmt),D106-G106-H106),"")</f>
        <v/>
      </c>
      <c r="J106" s="42" t="str">
        <f aca="false">IF(AND(A106&lt;&gt;"",D106&gt;0.005),E106+H106+I106,"")</f>
        <v/>
      </c>
      <c r="K106" s="42" t="str">
        <f aca="false">IF(AND(A106&lt;&gt;"",D106&gt;0.005),ROUND(D106-G106-H106-I106,2),"")</f>
        <v/>
      </c>
      <c r="L106" s="41" t="str">
        <f aca="false">IF(AND(A106&lt;&gt;"",D106&gt;0.005),L105+F106,"")</f>
        <v/>
      </c>
      <c r="M106" s="41" t="str">
        <f aca="false">IF(AND(A106&lt;&gt;"",D106&gt;0.005),M105+G106+H106+I106,"")</f>
        <v/>
      </c>
      <c r="N106" s="43" t="str">
        <f aca="false">IF(B106="","",YEAR(B106))</f>
        <v/>
      </c>
      <c r="O106" s="44" t="n">
        <f aca="false">IF(AND(A106&lt;&gt;"",D106&gt;0.005),J106,0)</f>
        <v>0</v>
      </c>
      <c r="P106" s="44" t="n">
        <f aca="false">R105</f>
        <v>0</v>
      </c>
      <c r="Q106" s="44" t="n">
        <f aca="false">IF(AND(P106&gt;0.005,99&lt;=NPer),ROUND(P106*RP,2),0)</f>
        <v>0</v>
      </c>
      <c r="R106" s="44" t="n">
        <f aca="false">IF(AND(P106&gt;0.005,99&lt;=NPer),ROUND(P106-IF(99&lt;=Grace,0,IF(99=NPer,P106,IF(Method="Equal principal (reducing payments)",MIN(ROUND(EqPrin,2),P106),MIN(ROUND(Annuity-Q106,2),P106)))),2),0)</f>
        <v>0</v>
      </c>
    </row>
    <row r="107" customFormat="false" ht="15" hidden="false" customHeight="false" outlineLevel="0" collapsed="false">
      <c r="A107" s="38" t="str">
        <f aca="false">IF(AND(N(K106)&gt;0.005,A106&lt;NPer),A106+1,"")</f>
        <v/>
      </c>
      <c r="B107" s="39" t="str">
        <f aca="false">IF(A107="","",EDATE(Disb,A107*MPP))</f>
        <v/>
      </c>
      <c r="C107" s="40" t="str">
        <f aca="false">IF(A107="","",IF(A107&lt;=Grace,"Grace","Repayment"))</f>
        <v/>
      </c>
      <c r="D107" s="41" t="str">
        <f aca="false">IF(A107="","",K106)</f>
        <v/>
      </c>
      <c r="E107" s="41" t="str">
        <f aca="false">IF(AND(A107&lt;&gt;"",D107&gt;0.005),F107+G107,"")</f>
        <v/>
      </c>
      <c r="F107" s="41" t="str">
        <f aca="false">IF(AND(A107&lt;&gt;"",D107&gt;0.005),ROUND(D107*RP,2),"")</f>
        <v/>
      </c>
      <c r="G107" s="41" t="str">
        <f aca="false">IF(AND(A107&lt;&gt;"",D107&gt;0.005),IF(A107&lt;=Grace,0,IF(A107=NPer,D107,IF(Method="Equal principal (reducing payments)",MIN(ROUND(EqPrin,2),D107),MIN(ROUND(Annuity-F107,2),D107)))),"")</f>
        <v/>
      </c>
      <c r="H107" s="41" t="str">
        <f aca="false">IF(AND(A107&lt;&gt;"",D107&gt;0.005),IF(A107&lt;=Grace,0,MIN(Extra,D107-G107)),"")</f>
        <v/>
      </c>
      <c r="I107" s="41" t="str">
        <f aca="false">IF(AND(A107&lt;&gt;"",D107&gt;0.005),MIN(SUMIF(LumpN,A107,LumpAmt),D107-G107-H107),"")</f>
        <v/>
      </c>
      <c r="J107" s="42" t="str">
        <f aca="false">IF(AND(A107&lt;&gt;"",D107&gt;0.005),E107+H107+I107,"")</f>
        <v/>
      </c>
      <c r="K107" s="42" t="str">
        <f aca="false">IF(AND(A107&lt;&gt;"",D107&gt;0.005),ROUND(D107-G107-H107-I107,2),"")</f>
        <v/>
      </c>
      <c r="L107" s="41" t="str">
        <f aca="false">IF(AND(A107&lt;&gt;"",D107&gt;0.005),L106+F107,"")</f>
        <v/>
      </c>
      <c r="M107" s="41" t="str">
        <f aca="false">IF(AND(A107&lt;&gt;"",D107&gt;0.005),M106+G107+H107+I107,"")</f>
        <v/>
      </c>
      <c r="N107" s="43" t="str">
        <f aca="false">IF(B107="","",YEAR(B107))</f>
        <v/>
      </c>
      <c r="O107" s="44" t="n">
        <f aca="false">IF(AND(A107&lt;&gt;"",D107&gt;0.005),J107,0)</f>
        <v>0</v>
      </c>
      <c r="P107" s="44" t="n">
        <f aca="false">R106</f>
        <v>0</v>
      </c>
      <c r="Q107" s="44" t="n">
        <f aca="false">IF(AND(P107&gt;0.005,100&lt;=NPer),ROUND(P107*RP,2),0)</f>
        <v>0</v>
      </c>
      <c r="R107" s="44" t="n">
        <f aca="false">IF(AND(P107&gt;0.005,100&lt;=NPer),ROUND(P107-IF(100&lt;=Grace,0,IF(100=NPer,P107,IF(Method="Equal principal (reducing payments)",MIN(ROUND(EqPrin,2),P107),MIN(ROUND(Annuity-Q107,2),P107)))),2),0)</f>
        <v>0</v>
      </c>
    </row>
    <row r="108" customFormat="false" ht="15" hidden="false" customHeight="false" outlineLevel="0" collapsed="false">
      <c r="A108" s="38" t="str">
        <f aca="false">IF(AND(N(K107)&gt;0.005,A107&lt;NPer),A107+1,"")</f>
        <v/>
      </c>
      <c r="B108" s="39" t="str">
        <f aca="false">IF(A108="","",EDATE(Disb,A108*MPP))</f>
        <v/>
      </c>
      <c r="C108" s="40" t="str">
        <f aca="false">IF(A108="","",IF(A108&lt;=Grace,"Grace","Repayment"))</f>
        <v/>
      </c>
      <c r="D108" s="41" t="str">
        <f aca="false">IF(A108="","",K107)</f>
        <v/>
      </c>
      <c r="E108" s="41" t="str">
        <f aca="false">IF(AND(A108&lt;&gt;"",D108&gt;0.005),F108+G108,"")</f>
        <v/>
      </c>
      <c r="F108" s="41" t="str">
        <f aca="false">IF(AND(A108&lt;&gt;"",D108&gt;0.005),ROUND(D108*RP,2),"")</f>
        <v/>
      </c>
      <c r="G108" s="41" t="str">
        <f aca="false">IF(AND(A108&lt;&gt;"",D108&gt;0.005),IF(A108&lt;=Grace,0,IF(A108=NPer,D108,IF(Method="Equal principal (reducing payments)",MIN(ROUND(EqPrin,2),D108),MIN(ROUND(Annuity-F108,2),D108)))),"")</f>
        <v/>
      </c>
      <c r="H108" s="41" t="str">
        <f aca="false">IF(AND(A108&lt;&gt;"",D108&gt;0.005),IF(A108&lt;=Grace,0,MIN(Extra,D108-G108)),"")</f>
        <v/>
      </c>
      <c r="I108" s="41" t="str">
        <f aca="false">IF(AND(A108&lt;&gt;"",D108&gt;0.005),MIN(SUMIF(LumpN,A108,LumpAmt),D108-G108-H108),"")</f>
        <v/>
      </c>
      <c r="J108" s="42" t="str">
        <f aca="false">IF(AND(A108&lt;&gt;"",D108&gt;0.005),E108+H108+I108,"")</f>
        <v/>
      </c>
      <c r="K108" s="42" t="str">
        <f aca="false">IF(AND(A108&lt;&gt;"",D108&gt;0.005),ROUND(D108-G108-H108-I108,2),"")</f>
        <v/>
      </c>
      <c r="L108" s="41" t="str">
        <f aca="false">IF(AND(A108&lt;&gt;"",D108&gt;0.005),L107+F108,"")</f>
        <v/>
      </c>
      <c r="M108" s="41" t="str">
        <f aca="false">IF(AND(A108&lt;&gt;"",D108&gt;0.005),M107+G108+H108+I108,"")</f>
        <v/>
      </c>
      <c r="N108" s="43" t="str">
        <f aca="false">IF(B108="","",YEAR(B108))</f>
        <v/>
      </c>
      <c r="O108" s="44" t="n">
        <f aca="false">IF(AND(A108&lt;&gt;"",D108&gt;0.005),J108,0)</f>
        <v>0</v>
      </c>
      <c r="P108" s="44" t="n">
        <f aca="false">R107</f>
        <v>0</v>
      </c>
      <c r="Q108" s="44" t="n">
        <f aca="false">IF(AND(P108&gt;0.005,101&lt;=NPer),ROUND(P108*RP,2),0)</f>
        <v>0</v>
      </c>
      <c r="R108" s="44" t="n">
        <f aca="false">IF(AND(P108&gt;0.005,101&lt;=NPer),ROUND(P108-IF(101&lt;=Grace,0,IF(101=NPer,P108,IF(Method="Equal principal (reducing payments)",MIN(ROUND(EqPrin,2),P108),MIN(ROUND(Annuity-Q108,2),P108)))),2),0)</f>
        <v>0</v>
      </c>
    </row>
    <row r="109" customFormat="false" ht="15" hidden="false" customHeight="false" outlineLevel="0" collapsed="false">
      <c r="A109" s="38" t="str">
        <f aca="false">IF(AND(N(K108)&gt;0.005,A108&lt;NPer),A108+1,"")</f>
        <v/>
      </c>
      <c r="B109" s="39" t="str">
        <f aca="false">IF(A109="","",EDATE(Disb,A109*MPP))</f>
        <v/>
      </c>
      <c r="C109" s="40" t="str">
        <f aca="false">IF(A109="","",IF(A109&lt;=Grace,"Grace","Repayment"))</f>
        <v/>
      </c>
      <c r="D109" s="41" t="str">
        <f aca="false">IF(A109="","",K108)</f>
        <v/>
      </c>
      <c r="E109" s="41" t="str">
        <f aca="false">IF(AND(A109&lt;&gt;"",D109&gt;0.005),F109+G109,"")</f>
        <v/>
      </c>
      <c r="F109" s="41" t="str">
        <f aca="false">IF(AND(A109&lt;&gt;"",D109&gt;0.005),ROUND(D109*RP,2),"")</f>
        <v/>
      </c>
      <c r="G109" s="41" t="str">
        <f aca="false">IF(AND(A109&lt;&gt;"",D109&gt;0.005),IF(A109&lt;=Grace,0,IF(A109=NPer,D109,IF(Method="Equal principal (reducing payments)",MIN(ROUND(EqPrin,2),D109),MIN(ROUND(Annuity-F109,2),D109)))),"")</f>
        <v/>
      </c>
      <c r="H109" s="41" t="str">
        <f aca="false">IF(AND(A109&lt;&gt;"",D109&gt;0.005),IF(A109&lt;=Grace,0,MIN(Extra,D109-G109)),"")</f>
        <v/>
      </c>
      <c r="I109" s="41" t="str">
        <f aca="false">IF(AND(A109&lt;&gt;"",D109&gt;0.005),MIN(SUMIF(LumpN,A109,LumpAmt),D109-G109-H109),"")</f>
        <v/>
      </c>
      <c r="J109" s="42" t="str">
        <f aca="false">IF(AND(A109&lt;&gt;"",D109&gt;0.005),E109+H109+I109,"")</f>
        <v/>
      </c>
      <c r="K109" s="42" t="str">
        <f aca="false">IF(AND(A109&lt;&gt;"",D109&gt;0.005),ROUND(D109-G109-H109-I109,2),"")</f>
        <v/>
      </c>
      <c r="L109" s="41" t="str">
        <f aca="false">IF(AND(A109&lt;&gt;"",D109&gt;0.005),L108+F109,"")</f>
        <v/>
      </c>
      <c r="M109" s="41" t="str">
        <f aca="false">IF(AND(A109&lt;&gt;"",D109&gt;0.005),M108+G109+H109+I109,"")</f>
        <v/>
      </c>
      <c r="N109" s="43" t="str">
        <f aca="false">IF(B109="","",YEAR(B109))</f>
        <v/>
      </c>
      <c r="O109" s="44" t="n">
        <f aca="false">IF(AND(A109&lt;&gt;"",D109&gt;0.005),J109,0)</f>
        <v>0</v>
      </c>
      <c r="P109" s="44" t="n">
        <f aca="false">R108</f>
        <v>0</v>
      </c>
      <c r="Q109" s="44" t="n">
        <f aca="false">IF(AND(P109&gt;0.005,102&lt;=NPer),ROUND(P109*RP,2),0)</f>
        <v>0</v>
      </c>
      <c r="R109" s="44" t="n">
        <f aca="false">IF(AND(P109&gt;0.005,102&lt;=NPer),ROUND(P109-IF(102&lt;=Grace,0,IF(102=NPer,P109,IF(Method="Equal principal (reducing payments)",MIN(ROUND(EqPrin,2),P109),MIN(ROUND(Annuity-Q109,2),P109)))),2),0)</f>
        <v>0</v>
      </c>
    </row>
    <row r="110" customFormat="false" ht="15" hidden="false" customHeight="false" outlineLevel="0" collapsed="false">
      <c r="A110" s="38" t="str">
        <f aca="false">IF(AND(N(K109)&gt;0.005,A109&lt;NPer),A109+1,"")</f>
        <v/>
      </c>
      <c r="B110" s="39" t="str">
        <f aca="false">IF(A110="","",EDATE(Disb,A110*MPP))</f>
        <v/>
      </c>
      <c r="C110" s="40" t="str">
        <f aca="false">IF(A110="","",IF(A110&lt;=Grace,"Grace","Repayment"))</f>
        <v/>
      </c>
      <c r="D110" s="41" t="str">
        <f aca="false">IF(A110="","",K109)</f>
        <v/>
      </c>
      <c r="E110" s="41" t="str">
        <f aca="false">IF(AND(A110&lt;&gt;"",D110&gt;0.005),F110+G110,"")</f>
        <v/>
      </c>
      <c r="F110" s="41" t="str">
        <f aca="false">IF(AND(A110&lt;&gt;"",D110&gt;0.005),ROUND(D110*RP,2),"")</f>
        <v/>
      </c>
      <c r="G110" s="41" t="str">
        <f aca="false">IF(AND(A110&lt;&gt;"",D110&gt;0.005),IF(A110&lt;=Grace,0,IF(A110=NPer,D110,IF(Method="Equal principal (reducing payments)",MIN(ROUND(EqPrin,2),D110),MIN(ROUND(Annuity-F110,2),D110)))),"")</f>
        <v/>
      </c>
      <c r="H110" s="41" t="str">
        <f aca="false">IF(AND(A110&lt;&gt;"",D110&gt;0.005),IF(A110&lt;=Grace,0,MIN(Extra,D110-G110)),"")</f>
        <v/>
      </c>
      <c r="I110" s="41" t="str">
        <f aca="false">IF(AND(A110&lt;&gt;"",D110&gt;0.005),MIN(SUMIF(LumpN,A110,LumpAmt),D110-G110-H110),"")</f>
        <v/>
      </c>
      <c r="J110" s="42" t="str">
        <f aca="false">IF(AND(A110&lt;&gt;"",D110&gt;0.005),E110+H110+I110,"")</f>
        <v/>
      </c>
      <c r="K110" s="42" t="str">
        <f aca="false">IF(AND(A110&lt;&gt;"",D110&gt;0.005),ROUND(D110-G110-H110-I110,2),"")</f>
        <v/>
      </c>
      <c r="L110" s="41" t="str">
        <f aca="false">IF(AND(A110&lt;&gt;"",D110&gt;0.005),L109+F110,"")</f>
        <v/>
      </c>
      <c r="M110" s="41" t="str">
        <f aca="false">IF(AND(A110&lt;&gt;"",D110&gt;0.005),M109+G110+H110+I110,"")</f>
        <v/>
      </c>
      <c r="N110" s="43" t="str">
        <f aca="false">IF(B110="","",YEAR(B110))</f>
        <v/>
      </c>
      <c r="O110" s="44" t="n">
        <f aca="false">IF(AND(A110&lt;&gt;"",D110&gt;0.005),J110,0)</f>
        <v>0</v>
      </c>
      <c r="P110" s="44" t="n">
        <f aca="false">R109</f>
        <v>0</v>
      </c>
      <c r="Q110" s="44" t="n">
        <f aca="false">IF(AND(P110&gt;0.005,103&lt;=NPer),ROUND(P110*RP,2),0)</f>
        <v>0</v>
      </c>
      <c r="R110" s="44" t="n">
        <f aca="false">IF(AND(P110&gt;0.005,103&lt;=NPer),ROUND(P110-IF(103&lt;=Grace,0,IF(103=NPer,P110,IF(Method="Equal principal (reducing payments)",MIN(ROUND(EqPrin,2),P110),MIN(ROUND(Annuity-Q110,2),P110)))),2),0)</f>
        <v>0</v>
      </c>
    </row>
    <row r="111" customFormat="false" ht="15" hidden="false" customHeight="false" outlineLevel="0" collapsed="false">
      <c r="A111" s="38" t="str">
        <f aca="false">IF(AND(N(K110)&gt;0.005,A110&lt;NPer),A110+1,"")</f>
        <v/>
      </c>
      <c r="B111" s="39" t="str">
        <f aca="false">IF(A111="","",EDATE(Disb,A111*MPP))</f>
        <v/>
      </c>
      <c r="C111" s="40" t="str">
        <f aca="false">IF(A111="","",IF(A111&lt;=Grace,"Grace","Repayment"))</f>
        <v/>
      </c>
      <c r="D111" s="41" t="str">
        <f aca="false">IF(A111="","",K110)</f>
        <v/>
      </c>
      <c r="E111" s="41" t="str">
        <f aca="false">IF(AND(A111&lt;&gt;"",D111&gt;0.005),F111+G111,"")</f>
        <v/>
      </c>
      <c r="F111" s="41" t="str">
        <f aca="false">IF(AND(A111&lt;&gt;"",D111&gt;0.005),ROUND(D111*RP,2),"")</f>
        <v/>
      </c>
      <c r="G111" s="41" t="str">
        <f aca="false">IF(AND(A111&lt;&gt;"",D111&gt;0.005),IF(A111&lt;=Grace,0,IF(A111=NPer,D111,IF(Method="Equal principal (reducing payments)",MIN(ROUND(EqPrin,2),D111),MIN(ROUND(Annuity-F111,2),D111)))),"")</f>
        <v/>
      </c>
      <c r="H111" s="41" t="str">
        <f aca="false">IF(AND(A111&lt;&gt;"",D111&gt;0.005),IF(A111&lt;=Grace,0,MIN(Extra,D111-G111)),"")</f>
        <v/>
      </c>
      <c r="I111" s="41" t="str">
        <f aca="false">IF(AND(A111&lt;&gt;"",D111&gt;0.005),MIN(SUMIF(LumpN,A111,LumpAmt),D111-G111-H111),"")</f>
        <v/>
      </c>
      <c r="J111" s="42" t="str">
        <f aca="false">IF(AND(A111&lt;&gt;"",D111&gt;0.005),E111+H111+I111,"")</f>
        <v/>
      </c>
      <c r="K111" s="42" t="str">
        <f aca="false">IF(AND(A111&lt;&gt;"",D111&gt;0.005),ROUND(D111-G111-H111-I111,2),"")</f>
        <v/>
      </c>
      <c r="L111" s="41" t="str">
        <f aca="false">IF(AND(A111&lt;&gt;"",D111&gt;0.005),L110+F111,"")</f>
        <v/>
      </c>
      <c r="M111" s="41" t="str">
        <f aca="false">IF(AND(A111&lt;&gt;"",D111&gt;0.005),M110+G111+H111+I111,"")</f>
        <v/>
      </c>
      <c r="N111" s="43" t="str">
        <f aca="false">IF(B111="","",YEAR(B111))</f>
        <v/>
      </c>
      <c r="O111" s="44" t="n">
        <f aca="false">IF(AND(A111&lt;&gt;"",D111&gt;0.005),J111,0)</f>
        <v>0</v>
      </c>
      <c r="P111" s="44" t="n">
        <f aca="false">R110</f>
        <v>0</v>
      </c>
      <c r="Q111" s="44" t="n">
        <f aca="false">IF(AND(P111&gt;0.005,104&lt;=NPer),ROUND(P111*RP,2),0)</f>
        <v>0</v>
      </c>
      <c r="R111" s="44" t="n">
        <f aca="false">IF(AND(P111&gt;0.005,104&lt;=NPer),ROUND(P111-IF(104&lt;=Grace,0,IF(104=NPer,P111,IF(Method="Equal principal (reducing payments)",MIN(ROUND(EqPrin,2),P111),MIN(ROUND(Annuity-Q111,2),P111)))),2),0)</f>
        <v>0</v>
      </c>
    </row>
    <row r="112" customFormat="false" ht="15" hidden="false" customHeight="false" outlineLevel="0" collapsed="false">
      <c r="A112" s="38" t="str">
        <f aca="false">IF(AND(N(K111)&gt;0.005,A111&lt;NPer),A111+1,"")</f>
        <v/>
      </c>
      <c r="B112" s="39" t="str">
        <f aca="false">IF(A112="","",EDATE(Disb,A112*MPP))</f>
        <v/>
      </c>
      <c r="C112" s="40" t="str">
        <f aca="false">IF(A112="","",IF(A112&lt;=Grace,"Grace","Repayment"))</f>
        <v/>
      </c>
      <c r="D112" s="41" t="str">
        <f aca="false">IF(A112="","",K111)</f>
        <v/>
      </c>
      <c r="E112" s="41" t="str">
        <f aca="false">IF(AND(A112&lt;&gt;"",D112&gt;0.005),F112+G112,"")</f>
        <v/>
      </c>
      <c r="F112" s="41" t="str">
        <f aca="false">IF(AND(A112&lt;&gt;"",D112&gt;0.005),ROUND(D112*RP,2),"")</f>
        <v/>
      </c>
      <c r="G112" s="41" t="str">
        <f aca="false">IF(AND(A112&lt;&gt;"",D112&gt;0.005),IF(A112&lt;=Grace,0,IF(A112=NPer,D112,IF(Method="Equal principal (reducing payments)",MIN(ROUND(EqPrin,2),D112),MIN(ROUND(Annuity-F112,2),D112)))),"")</f>
        <v/>
      </c>
      <c r="H112" s="41" t="str">
        <f aca="false">IF(AND(A112&lt;&gt;"",D112&gt;0.005),IF(A112&lt;=Grace,0,MIN(Extra,D112-G112)),"")</f>
        <v/>
      </c>
      <c r="I112" s="41" t="str">
        <f aca="false">IF(AND(A112&lt;&gt;"",D112&gt;0.005),MIN(SUMIF(LumpN,A112,LumpAmt),D112-G112-H112),"")</f>
        <v/>
      </c>
      <c r="J112" s="42" t="str">
        <f aca="false">IF(AND(A112&lt;&gt;"",D112&gt;0.005),E112+H112+I112,"")</f>
        <v/>
      </c>
      <c r="K112" s="42" t="str">
        <f aca="false">IF(AND(A112&lt;&gt;"",D112&gt;0.005),ROUND(D112-G112-H112-I112,2),"")</f>
        <v/>
      </c>
      <c r="L112" s="41" t="str">
        <f aca="false">IF(AND(A112&lt;&gt;"",D112&gt;0.005),L111+F112,"")</f>
        <v/>
      </c>
      <c r="M112" s="41" t="str">
        <f aca="false">IF(AND(A112&lt;&gt;"",D112&gt;0.005),M111+G112+H112+I112,"")</f>
        <v/>
      </c>
      <c r="N112" s="43" t="str">
        <f aca="false">IF(B112="","",YEAR(B112))</f>
        <v/>
      </c>
      <c r="O112" s="44" t="n">
        <f aca="false">IF(AND(A112&lt;&gt;"",D112&gt;0.005),J112,0)</f>
        <v>0</v>
      </c>
      <c r="P112" s="44" t="n">
        <f aca="false">R111</f>
        <v>0</v>
      </c>
      <c r="Q112" s="44" t="n">
        <f aca="false">IF(AND(P112&gt;0.005,105&lt;=NPer),ROUND(P112*RP,2),0)</f>
        <v>0</v>
      </c>
      <c r="R112" s="44" t="n">
        <f aca="false">IF(AND(P112&gt;0.005,105&lt;=NPer),ROUND(P112-IF(105&lt;=Grace,0,IF(105=NPer,P112,IF(Method="Equal principal (reducing payments)",MIN(ROUND(EqPrin,2),P112),MIN(ROUND(Annuity-Q112,2),P112)))),2),0)</f>
        <v>0</v>
      </c>
    </row>
    <row r="113" customFormat="false" ht="15" hidden="false" customHeight="false" outlineLevel="0" collapsed="false">
      <c r="A113" s="38" t="str">
        <f aca="false">IF(AND(N(K112)&gt;0.005,A112&lt;NPer),A112+1,"")</f>
        <v/>
      </c>
      <c r="B113" s="39" t="str">
        <f aca="false">IF(A113="","",EDATE(Disb,A113*MPP))</f>
        <v/>
      </c>
      <c r="C113" s="40" t="str">
        <f aca="false">IF(A113="","",IF(A113&lt;=Grace,"Grace","Repayment"))</f>
        <v/>
      </c>
      <c r="D113" s="41" t="str">
        <f aca="false">IF(A113="","",K112)</f>
        <v/>
      </c>
      <c r="E113" s="41" t="str">
        <f aca="false">IF(AND(A113&lt;&gt;"",D113&gt;0.005),F113+G113,"")</f>
        <v/>
      </c>
      <c r="F113" s="41" t="str">
        <f aca="false">IF(AND(A113&lt;&gt;"",D113&gt;0.005),ROUND(D113*RP,2),"")</f>
        <v/>
      </c>
      <c r="G113" s="41" t="str">
        <f aca="false">IF(AND(A113&lt;&gt;"",D113&gt;0.005),IF(A113&lt;=Grace,0,IF(A113=NPer,D113,IF(Method="Equal principal (reducing payments)",MIN(ROUND(EqPrin,2),D113),MIN(ROUND(Annuity-F113,2),D113)))),"")</f>
        <v/>
      </c>
      <c r="H113" s="41" t="str">
        <f aca="false">IF(AND(A113&lt;&gt;"",D113&gt;0.005),IF(A113&lt;=Grace,0,MIN(Extra,D113-G113)),"")</f>
        <v/>
      </c>
      <c r="I113" s="41" t="str">
        <f aca="false">IF(AND(A113&lt;&gt;"",D113&gt;0.005),MIN(SUMIF(LumpN,A113,LumpAmt),D113-G113-H113),"")</f>
        <v/>
      </c>
      <c r="J113" s="42" t="str">
        <f aca="false">IF(AND(A113&lt;&gt;"",D113&gt;0.005),E113+H113+I113,"")</f>
        <v/>
      </c>
      <c r="K113" s="42" t="str">
        <f aca="false">IF(AND(A113&lt;&gt;"",D113&gt;0.005),ROUND(D113-G113-H113-I113,2),"")</f>
        <v/>
      </c>
      <c r="L113" s="41" t="str">
        <f aca="false">IF(AND(A113&lt;&gt;"",D113&gt;0.005),L112+F113,"")</f>
        <v/>
      </c>
      <c r="M113" s="41" t="str">
        <f aca="false">IF(AND(A113&lt;&gt;"",D113&gt;0.005),M112+G113+H113+I113,"")</f>
        <v/>
      </c>
      <c r="N113" s="43" t="str">
        <f aca="false">IF(B113="","",YEAR(B113))</f>
        <v/>
      </c>
      <c r="O113" s="44" t="n">
        <f aca="false">IF(AND(A113&lt;&gt;"",D113&gt;0.005),J113,0)</f>
        <v>0</v>
      </c>
      <c r="P113" s="44" t="n">
        <f aca="false">R112</f>
        <v>0</v>
      </c>
      <c r="Q113" s="44" t="n">
        <f aca="false">IF(AND(P113&gt;0.005,106&lt;=NPer),ROUND(P113*RP,2),0)</f>
        <v>0</v>
      </c>
      <c r="R113" s="44" t="n">
        <f aca="false">IF(AND(P113&gt;0.005,106&lt;=NPer),ROUND(P113-IF(106&lt;=Grace,0,IF(106=NPer,P113,IF(Method="Equal principal (reducing payments)",MIN(ROUND(EqPrin,2),P113),MIN(ROUND(Annuity-Q113,2),P113)))),2),0)</f>
        <v>0</v>
      </c>
    </row>
    <row r="114" customFormat="false" ht="15" hidden="false" customHeight="false" outlineLevel="0" collapsed="false">
      <c r="A114" s="38" t="str">
        <f aca="false">IF(AND(N(K113)&gt;0.005,A113&lt;NPer),A113+1,"")</f>
        <v/>
      </c>
      <c r="B114" s="39" t="str">
        <f aca="false">IF(A114="","",EDATE(Disb,A114*MPP))</f>
        <v/>
      </c>
      <c r="C114" s="40" t="str">
        <f aca="false">IF(A114="","",IF(A114&lt;=Grace,"Grace","Repayment"))</f>
        <v/>
      </c>
      <c r="D114" s="41" t="str">
        <f aca="false">IF(A114="","",K113)</f>
        <v/>
      </c>
      <c r="E114" s="41" t="str">
        <f aca="false">IF(AND(A114&lt;&gt;"",D114&gt;0.005),F114+G114,"")</f>
        <v/>
      </c>
      <c r="F114" s="41" t="str">
        <f aca="false">IF(AND(A114&lt;&gt;"",D114&gt;0.005),ROUND(D114*RP,2),"")</f>
        <v/>
      </c>
      <c r="G114" s="41" t="str">
        <f aca="false">IF(AND(A114&lt;&gt;"",D114&gt;0.005),IF(A114&lt;=Grace,0,IF(A114=NPer,D114,IF(Method="Equal principal (reducing payments)",MIN(ROUND(EqPrin,2),D114),MIN(ROUND(Annuity-F114,2),D114)))),"")</f>
        <v/>
      </c>
      <c r="H114" s="41" t="str">
        <f aca="false">IF(AND(A114&lt;&gt;"",D114&gt;0.005),IF(A114&lt;=Grace,0,MIN(Extra,D114-G114)),"")</f>
        <v/>
      </c>
      <c r="I114" s="41" t="str">
        <f aca="false">IF(AND(A114&lt;&gt;"",D114&gt;0.005),MIN(SUMIF(LumpN,A114,LumpAmt),D114-G114-H114),"")</f>
        <v/>
      </c>
      <c r="J114" s="42" t="str">
        <f aca="false">IF(AND(A114&lt;&gt;"",D114&gt;0.005),E114+H114+I114,"")</f>
        <v/>
      </c>
      <c r="K114" s="42" t="str">
        <f aca="false">IF(AND(A114&lt;&gt;"",D114&gt;0.005),ROUND(D114-G114-H114-I114,2),"")</f>
        <v/>
      </c>
      <c r="L114" s="41" t="str">
        <f aca="false">IF(AND(A114&lt;&gt;"",D114&gt;0.005),L113+F114,"")</f>
        <v/>
      </c>
      <c r="M114" s="41" t="str">
        <f aca="false">IF(AND(A114&lt;&gt;"",D114&gt;0.005),M113+G114+H114+I114,"")</f>
        <v/>
      </c>
      <c r="N114" s="43" t="str">
        <f aca="false">IF(B114="","",YEAR(B114))</f>
        <v/>
      </c>
      <c r="O114" s="44" t="n">
        <f aca="false">IF(AND(A114&lt;&gt;"",D114&gt;0.005),J114,0)</f>
        <v>0</v>
      </c>
      <c r="P114" s="44" t="n">
        <f aca="false">R113</f>
        <v>0</v>
      </c>
      <c r="Q114" s="44" t="n">
        <f aca="false">IF(AND(P114&gt;0.005,107&lt;=NPer),ROUND(P114*RP,2),0)</f>
        <v>0</v>
      </c>
      <c r="R114" s="44" t="n">
        <f aca="false">IF(AND(P114&gt;0.005,107&lt;=NPer),ROUND(P114-IF(107&lt;=Grace,0,IF(107=NPer,P114,IF(Method="Equal principal (reducing payments)",MIN(ROUND(EqPrin,2),P114),MIN(ROUND(Annuity-Q114,2),P114)))),2),0)</f>
        <v>0</v>
      </c>
    </row>
    <row r="115" customFormat="false" ht="15" hidden="false" customHeight="false" outlineLevel="0" collapsed="false">
      <c r="A115" s="38" t="str">
        <f aca="false">IF(AND(N(K114)&gt;0.005,A114&lt;NPer),A114+1,"")</f>
        <v/>
      </c>
      <c r="B115" s="39" t="str">
        <f aca="false">IF(A115="","",EDATE(Disb,A115*MPP))</f>
        <v/>
      </c>
      <c r="C115" s="40" t="str">
        <f aca="false">IF(A115="","",IF(A115&lt;=Grace,"Grace","Repayment"))</f>
        <v/>
      </c>
      <c r="D115" s="41" t="str">
        <f aca="false">IF(A115="","",K114)</f>
        <v/>
      </c>
      <c r="E115" s="41" t="str">
        <f aca="false">IF(AND(A115&lt;&gt;"",D115&gt;0.005),F115+G115,"")</f>
        <v/>
      </c>
      <c r="F115" s="41" t="str">
        <f aca="false">IF(AND(A115&lt;&gt;"",D115&gt;0.005),ROUND(D115*RP,2),"")</f>
        <v/>
      </c>
      <c r="G115" s="41" t="str">
        <f aca="false">IF(AND(A115&lt;&gt;"",D115&gt;0.005),IF(A115&lt;=Grace,0,IF(A115=NPer,D115,IF(Method="Equal principal (reducing payments)",MIN(ROUND(EqPrin,2),D115),MIN(ROUND(Annuity-F115,2),D115)))),"")</f>
        <v/>
      </c>
      <c r="H115" s="41" t="str">
        <f aca="false">IF(AND(A115&lt;&gt;"",D115&gt;0.005),IF(A115&lt;=Grace,0,MIN(Extra,D115-G115)),"")</f>
        <v/>
      </c>
      <c r="I115" s="41" t="str">
        <f aca="false">IF(AND(A115&lt;&gt;"",D115&gt;0.005),MIN(SUMIF(LumpN,A115,LumpAmt),D115-G115-H115),"")</f>
        <v/>
      </c>
      <c r="J115" s="42" t="str">
        <f aca="false">IF(AND(A115&lt;&gt;"",D115&gt;0.005),E115+H115+I115,"")</f>
        <v/>
      </c>
      <c r="K115" s="42" t="str">
        <f aca="false">IF(AND(A115&lt;&gt;"",D115&gt;0.005),ROUND(D115-G115-H115-I115,2),"")</f>
        <v/>
      </c>
      <c r="L115" s="41" t="str">
        <f aca="false">IF(AND(A115&lt;&gt;"",D115&gt;0.005),L114+F115,"")</f>
        <v/>
      </c>
      <c r="M115" s="41" t="str">
        <f aca="false">IF(AND(A115&lt;&gt;"",D115&gt;0.005),M114+G115+H115+I115,"")</f>
        <v/>
      </c>
      <c r="N115" s="43" t="str">
        <f aca="false">IF(B115="","",YEAR(B115))</f>
        <v/>
      </c>
      <c r="O115" s="44" t="n">
        <f aca="false">IF(AND(A115&lt;&gt;"",D115&gt;0.005),J115,0)</f>
        <v>0</v>
      </c>
      <c r="P115" s="44" t="n">
        <f aca="false">R114</f>
        <v>0</v>
      </c>
      <c r="Q115" s="44" t="n">
        <f aca="false">IF(AND(P115&gt;0.005,108&lt;=NPer),ROUND(P115*RP,2),0)</f>
        <v>0</v>
      </c>
      <c r="R115" s="44" t="n">
        <f aca="false">IF(AND(P115&gt;0.005,108&lt;=NPer),ROUND(P115-IF(108&lt;=Grace,0,IF(108=NPer,P115,IF(Method="Equal principal (reducing payments)",MIN(ROUND(EqPrin,2),P115),MIN(ROUND(Annuity-Q115,2),P115)))),2),0)</f>
        <v>0</v>
      </c>
    </row>
    <row r="116" customFormat="false" ht="15" hidden="false" customHeight="false" outlineLevel="0" collapsed="false">
      <c r="A116" s="38" t="str">
        <f aca="false">IF(AND(N(K115)&gt;0.005,A115&lt;NPer),A115+1,"")</f>
        <v/>
      </c>
      <c r="B116" s="39" t="str">
        <f aca="false">IF(A116="","",EDATE(Disb,A116*MPP))</f>
        <v/>
      </c>
      <c r="C116" s="40" t="str">
        <f aca="false">IF(A116="","",IF(A116&lt;=Grace,"Grace","Repayment"))</f>
        <v/>
      </c>
      <c r="D116" s="41" t="str">
        <f aca="false">IF(A116="","",K115)</f>
        <v/>
      </c>
      <c r="E116" s="41" t="str">
        <f aca="false">IF(AND(A116&lt;&gt;"",D116&gt;0.005),F116+G116,"")</f>
        <v/>
      </c>
      <c r="F116" s="41" t="str">
        <f aca="false">IF(AND(A116&lt;&gt;"",D116&gt;0.005),ROUND(D116*RP,2),"")</f>
        <v/>
      </c>
      <c r="G116" s="41" t="str">
        <f aca="false">IF(AND(A116&lt;&gt;"",D116&gt;0.005),IF(A116&lt;=Grace,0,IF(A116=NPer,D116,IF(Method="Equal principal (reducing payments)",MIN(ROUND(EqPrin,2),D116),MIN(ROUND(Annuity-F116,2),D116)))),"")</f>
        <v/>
      </c>
      <c r="H116" s="41" t="str">
        <f aca="false">IF(AND(A116&lt;&gt;"",D116&gt;0.005),IF(A116&lt;=Grace,0,MIN(Extra,D116-G116)),"")</f>
        <v/>
      </c>
      <c r="I116" s="41" t="str">
        <f aca="false">IF(AND(A116&lt;&gt;"",D116&gt;0.005),MIN(SUMIF(LumpN,A116,LumpAmt),D116-G116-H116),"")</f>
        <v/>
      </c>
      <c r="J116" s="42" t="str">
        <f aca="false">IF(AND(A116&lt;&gt;"",D116&gt;0.005),E116+H116+I116,"")</f>
        <v/>
      </c>
      <c r="K116" s="42" t="str">
        <f aca="false">IF(AND(A116&lt;&gt;"",D116&gt;0.005),ROUND(D116-G116-H116-I116,2),"")</f>
        <v/>
      </c>
      <c r="L116" s="41" t="str">
        <f aca="false">IF(AND(A116&lt;&gt;"",D116&gt;0.005),L115+F116,"")</f>
        <v/>
      </c>
      <c r="M116" s="41" t="str">
        <f aca="false">IF(AND(A116&lt;&gt;"",D116&gt;0.005),M115+G116+H116+I116,"")</f>
        <v/>
      </c>
      <c r="N116" s="43" t="str">
        <f aca="false">IF(B116="","",YEAR(B116))</f>
        <v/>
      </c>
      <c r="O116" s="44" t="n">
        <f aca="false">IF(AND(A116&lt;&gt;"",D116&gt;0.005),J116,0)</f>
        <v>0</v>
      </c>
      <c r="P116" s="44" t="n">
        <f aca="false">R115</f>
        <v>0</v>
      </c>
      <c r="Q116" s="44" t="n">
        <f aca="false">IF(AND(P116&gt;0.005,109&lt;=NPer),ROUND(P116*RP,2),0)</f>
        <v>0</v>
      </c>
      <c r="R116" s="44" t="n">
        <f aca="false">IF(AND(P116&gt;0.005,109&lt;=NPer),ROUND(P116-IF(109&lt;=Grace,0,IF(109=NPer,P116,IF(Method="Equal principal (reducing payments)",MIN(ROUND(EqPrin,2),P116),MIN(ROUND(Annuity-Q116,2),P116)))),2),0)</f>
        <v>0</v>
      </c>
    </row>
    <row r="117" customFormat="false" ht="15" hidden="false" customHeight="false" outlineLevel="0" collapsed="false">
      <c r="A117" s="38" t="str">
        <f aca="false">IF(AND(N(K116)&gt;0.005,A116&lt;NPer),A116+1,"")</f>
        <v/>
      </c>
      <c r="B117" s="39" t="str">
        <f aca="false">IF(A117="","",EDATE(Disb,A117*MPP))</f>
        <v/>
      </c>
      <c r="C117" s="40" t="str">
        <f aca="false">IF(A117="","",IF(A117&lt;=Grace,"Grace","Repayment"))</f>
        <v/>
      </c>
      <c r="D117" s="41" t="str">
        <f aca="false">IF(A117="","",K116)</f>
        <v/>
      </c>
      <c r="E117" s="41" t="str">
        <f aca="false">IF(AND(A117&lt;&gt;"",D117&gt;0.005),F117+G117,"")</f>
        <v/>
      </c>
      <c r="F117" s="41" t="str">
        <f aca="false">IF(AND(A117&lt;&gt;"",D117&gt;0.005),ROUND(D117*RP,2),"")</f>
        <v/>
      </c>
      <c r="G117" s="41" t="str">
        <f aca="false">IF(AND(A117&lt;&gt;"",D117&gt;0.005),IF(A117&lt;=Grace,0,IF(A117=NPer,D117,IF(Method="Equal principal (reducing payments)",MIN(ROUND(EqPrin,2),D117),MIN(ROUND(Annuity-F117,2),D117)))),"")</f>
        <v/>
      </c>
      <c r="H117" s="41" t="str">
        <f aca="false">IF(AND(A117&lt;&gt;"",D117&gt;0.005),IF(A117&lt;=Grace,0,MIN(Extra,D117-G117)),"")</f>
        <v/>
      </c>
      <c r="I117" s="41" t="str">
        <f aca="false">IF(AND(A117&lt;&gt;"",D117&gt;0.005),MIN(SUMIF(LumpN,A117,LumpAmt),D117-G117-H117),"")</f>
        <v/>
      </c>
      <c r="J117" s="42" t="str">
        <f aca="false">IF(AND(A117&lt;&gt;"",D117&gt;0.005),E117+H117+I117,"")</f>
        <v/>
      </c>
      <c r="K117" s="42" t="str">
        <f aca="false">IF(AND(A117&lt;&gt;"",D117&gt;0.005),ROUND(D117-G117-H117-I117,2),"")</f>
        <v/>
      </c>
      <c r="L117" s="41" t="str">
        <f aca="false">IF(AND(A117&lt;&gt;"",D117&gt;0.005),L116+F117,"")</f>
        <v/>
      </c>
      <c r="M117" s="41" t="str">
        <f aca="false">IF(AND(A117&lt;&gt;"",D117&gt;0.005),M116+G117+H117+I117,"")</f>
        <v/>
      </c>
      <c r="N117" s="43" t="str">
        <f aca="false">IF(B117="","",YEAR(B117))</f>
        <v/>
      </c>
      <c r="O117" s="44" t="n">
        <f aca="false">IF(AND(A117&lt;&gt;"",D117&gt;0.005),J117,0)</f>
        <v>0</v>
      </c>
      <c r="P117" s="44" t="n">
        <f aca="false">R116</f>
        <v>0</v>
      </c>
      <c r="Q117" s="44" t="n">
        <f aca="false">IF(AND(P117&gt;0.005,110&lt;=NPer),ROUND(P117*RP,2),0)</f>
        <v>0</v>
      </c>
      <c r="R117" s="44" t="n">
        <f aca="false">IF(AND(P117&gt;0.005,110&lt;=NPer),ROUND(P117-IF(110&lt;=Grace,0,IF(110=NPer,P117,IF(Method="Equal principal (reducing payments)",MIN(ROUND(EqPrin,2),P117),MIN(ROUND(Annuity-Q117,2),P117)))),2),0)</f>
        <v>0</v>
      </c>
    </row>
    <row r="118" customFormat="false" ht="15" hidden="false" customHeight="false" outlineLevel="0" collapsed="false">
      <c r="A118" s="38" t="str">
        <f aca="false">IF(AND(N(K117)&gt;0.005,A117&lt;NPer),A117+1,"")</f>
        <v/>
      </c>
      <c r="B118" s="39" t="str">
        <f aca="false">IF(A118="","",EDATE(Disb,A118*MPP))</f>
        <v/>
      </c>
      <c r="C118" s="40" t="str">
        <f aca="false">IF(A118="","",IF(A118&lt;=Grace,"Grace","Repayment"))</f>
        <v/>
      </c>
      <c r="D118" s="41" t="str">
        <f aca="false">IF(A118="","",K117)</f>
        <v/>
      </c>
      <c r="E118" s="41" t="str">
        <f aca="false">IF(AND(A118&lt;&gt;"",D118&gt;0.005),F118+G118,"")</f>
        <v/>
      </c>
      <c r="F118" s="41" t="str">
        <f aca="false">IF(AND(A118&lt;&gt;"",D118&gt;0.005),ROUND(D118*RP,2),"")</f>
        <v/>
      </c>
      <c r="G118" s="41" t="str">
        <f aca="false">IF(AND(A118&lt;&gt;"",D118&gt;0.005),IF(A118&lt;=Grace,0,IF(A118=NPer,D118,IF(Method="Equal principal (reducing payments)",MIN(ROUND(EqPrin,2),D118),MIN(ROUND(Annuity-F118,2),D118)))),"")</f>
        <v/>
      </c>
      <c r="H118" s="41" t="str">
        <f aca="false">IF(AND(A118&lt;&gt;"",D118&gt;0.005),IF(A118&lt;=Grace,0,MIN(Extra,D118-G118)),"")</f>
        <v/>
      </c>
      <c r="I118" s="41" t="str">
        <f aca="false">IF(AND(A118&lt;&gt;"",D118&gt;0.005),MIN(SUMIF(LumpN,A118,LumpAmt),D118-G118-H118),"")</f>
        <v/>
      </c>
      <c r="J118" s="42" t="str">
        <f aca="false">IF(AND(A118&lt;&gt;"",D118&gt;0.005),E118+H118+I118,"")</f>
        <v/>
      </c>
      <c r="K118" s="42" t="str">
        <f aca="false">IF(AND(A118&lt;&gt;"",D118&gt;0.005),ROUND(D118-G118-H118-I118,2),"")</f>
        <v/>
      </c>
      <c r="L118" s="41" t="str">
        <f aca="false">IF(AND(A118&lt;&gt;"",D118&gt;0.005),L117+F118,"")</f>
        <v/>
      </c>
      <c r="M118" s="41" t="str">
        <f aca="false">IF(AND(A118&lt;&gt;"",D118&gt;0.005),M117+G118+H118+I118,"")</f>
        <v/>
      </c>
      <c r="N118" s="43" t="str">
        <f aca="false">IF(B118="","",YEAR(B118))</f>
        <v/>
      </c>
      <c r="O118" s="44" t="n">
        <f aca="false">IF(AND(A118&lt;&gt;"",D118&gt;0.005),J118,0)</f>
        <v>0</v>
      </c>
      <c r="P118" s="44" t="n">
        <f aca="false">R117</f>
        <v>0</v>
      </c>
      <c r="Q118" s="44" t="n">
        <f aca="false">IF(AND(P118&gt;0.005,111&lt;=NPer),ROUND(P118*RP,2),0)</f>
        <v>0</v>
      </c>
      <c r="R118" s="44" t="n">
        <f aca="false">IF(AND(P118&gt;0.005,111&lt;=NPer),ROUND(P118-IF(111&lt;=Grace,0,IF(111=NPer,P118,IF(Method="Equal principal (reducing payments)",MIN(ROUND(EqPrin,2),P118),MIN(ROUND(Annuity-Q118,2),P118)))),2),0)</f>
        <v>0</v>
      </c>
    </row>
    <row r="119" customFormat="false" ht="15" hidden="false" customHeight="false" outlineLevel="0" collapsed="false">
      <c r="A119" s="38" t="str">
        <f aca="false">IF(AND(N(K118)&gt;0.005,A118&lt;NPer),A118+1,"")</f>
        <v/>
      </c>
      <c r="B119" s="39" t="str">
        <f aca="false">IF(A119="","",EDATE(Disb,A119*MPP))</f>
        <v/>
      </c>
      <c r="C119" s="40" t="str">
        <f aca="false">IF(A119="","",IF(A119&lt;=Grace,"Grace","Repayment"))</f>
        <v/>
      </c>
      <c r="D119" s="41" t="str">
        <f aca="false">IF(A119="","",K118)</f>
        <v/>
      </c>
      <c r="E119" s="41" t="str">
        <f aca="false">IF(AND(A119&lt;&gt;"",D119&gt;0.005),F119+G119,"")</f>
        <v/>
      </c>
      <c r="F119" s="41" t="str">
        <f aca="false">IF(AND(A119&lt;&gt;"",D119&gt;0.005),ROUND(D119*RP,2),"")</f>
        <v/>
      </c>
      <c r="G119" s="41" t="str">
        <f aca="false">IF(AND(A119&lt;&gt;"",D119&gt;0.005),IF(A119&lt;=Grace,0,IF(A119=NPer,D119,IF(Method="Equal principal (reducing payments)",MIN(ROUND(EqPrin,2),D119),MIN(ROUND(Annuity-F119,2),D119)))),"")</f>
        <v/>
      </c>
      <c r="H119" s="41" t="str">
        <f aca="false">IF(AND(A119&lt;&gt;"",D119&gt;0.005),IF(A119&lt;=Grace,0,MIN(Extra,D119-G119)),"")</f>
        <v/>
      </c>
      <c r="I119" s="41" t="str">
        <f aca="false">IF(AND(A119&lt;&gt;"",D119&gt;0.005),MIN(SUMIF(LumpN,A119,LumpAmt),D119-G119-H119),"")</f>
        <v/>
      </c>
      <c r="J119" s="42" t="str">
        <f aca="false">IF(AND(A119&lt;&gt;"",D119&gt;0.005),E119+H119+I119,"")</f>
        <v/>
      </c>
      <c r="K119" s="42" t="str">
        <f aca="false">IF(AND(A119&lt;&gt;"",D119&gt;0.005),ROUND(D119-G119-H119-I119,2),"")</f>
        <v/>
      </c>
      <c r="L119" s="41" t="str">
        <f aca="false">IF(AND(A119&lt;&gt;"",D119&gt;0.005),L118+F119,"")</f>
        <v/>
      </c>
      <c r="M119" s="41" t="str">
        <f aca="false">IF(AND(A119&lt;&gt;"",D119&gt;0.005),M118+G119+H119+I119,"")</f>
        <v/>
      </c>
      <c r="N119" s="43" t="str">
        <f aca="false">IF(B119="","",YEAR(B119))</f>
        <v/>
      </c>
      <c r="O119" s="44" t="n">
        <f aca="false">IF(AND(A119&lt;&gt;"",D119&gt;0.005),J119,0)</f>
        <v>0</v>
      </c>
      <c r="P119" s="44" t="n">
        <f aca="false">R118</f>
        <v>0</v>
      </c>
      <c r="Q119" s="44" t="n">
        <f aca="false">IF(AND(P119&gt;0.005,112&lt;=NPer),ROUND(P119*RP,2),0)</f>
        <v>0</v>
      </c>
      <c r="R119" s="44" t="n">
        <f aca="false">IF(AND(P119&gt;0.005,112&lt;=NPer),ROUND(P119-IF(112&lt;=Grace,0,IF(112=NPer,P119,IF(Method="Equal principal (reducing payments)",MIN(ROUND(EqPrin,2),P119),MIN(ROUND(Annuity-Q119,2),P119)))),2),0)</f>
        <v>0</v>
      </c>
    </row>
    <row r="120" customFormat="false" ht="15" hidden="false" customHeight="false" outlineLevel="0" collapsed="false">
      <c r="A120" s="38" t="str">
        <f aca="false">IF(AND(N(K119)&gt;0.005,A119&lt;NPer),A119+1,"")</f>
        <v/>
      </c>
      <c r="B120" s="39" t="str">
        <f aca="false">IF(A120="","",EDATE(Disb,A120*MPP))</f>
        <v/>
      </c>
      <c r="C120" s="40" t="str">
        <f aca="false">IF(A120="","",IF(A120&lt;=Grace,"Grace","Repayment"))</f>
        <v/>
      </c>
      <c r="D120" s="41" t="str">
        <f aca="false">IF(A120="","",K119)</f>
        <v/>
      </c>
      <c r="E120" s="41" t="str">
        <f aca="false">IF(AND(A120&lt;&gt;"",D120&gt;0.005),F120+G120,"")</f>
        <v/>
      </c>
      <c r="F120" s="41" t="str">
        <f aca="false">IF(AND(A120&lt;&gt;"",D120&gt;0.005),ROUND(D120*RP,2),"")</f>
        <v/>
      </c>
      <c r="G120" s="41" t="str">
        <f aca="false">IF(AND(A120&lt;&gt;"",D120&gt;0.005),IF(A120&lt;=Grace,0,IF(A120=NPer,D120,IF(Method="Equal principal (reducing payments)",MIN(ROUND(EqPrin,2),D120),MIN(ROUND(Annuity-F120,2),D120)))),"")</f>
        <v/>
      </c>
      <c r="H120" s="41" t="str">
        <f aca="false">IF(AND(A120&lt;&gt;"",D120&gt;0.005),IF(A120&lt;=Grace,0,MIN(Extra,D120-G120)),"")</f>
        <v/>
      </c>
      <c r="I120" s="41" t="str">
        <f aca="false">IF(AND(A120&lt;&gt;"",D120&gt;0.005),MIN(SUMIF(LumpN,A120,LumpAmt),D120-G120-H120),"")</f>
        <v/>
      </c>
      <c r="J120" s="42" t="str">
        <f aca="false">IF(AND(A120&lt;&gt;"",D120&gt;0.005),E120+H120+I120,"")</f>
        <v/>
      </c>
      <c r="K120" s="42" t="str">
        <f aca="false">IF(AND(A120&lt;&gt;"",D120&gt;0.005),ROUND(D120-G120-H120-I120,2),"")</f>
        <v/>
      </c>
      <c r="L120" s="41" t="str">
        <f aca="false">IF(AND(A120&lt;&gt;"",D120&gt;0.005),L119+F120,"")</f>
        <v/>
      </c>
      <c r="M120" s="41" t="str">
        <f aca="false">IF(AND(A120&lt;&gt;"",D120&gt;0.005),M119+G120+H120+I120,"")</f>
        <v/>
      </c>
      <c r="N120" s="43" t="str">
        <f aca="false">IF(B120="","",YEAR(B120))</f>
        <v/>
      </c>
      <c r="O120" s="44" t="n">
        <f aca="false">IF(AND(A120&lt;&gt;"",D120&gt;0.005),J120,0)</f>
        <v>0</v>
      </c>
      <c r="P120" s="44" t="n">
        <f aca="false">R119</f>
        <v>0</v>
      </c>
      <c r="Q120" s="44" t="n">
        <f aca="false">IF(AND(P120&gt;0.005,113&lt;=NPer),ROUND(P120*RP,2),0)</f>
        <v>0</v>
      </c>
      <c r="R120" s="44" t="n">
        <f aca="false">IF(AND(P120&gt;0.005,113&lt;=NPer),ROUND(P120-IF(113&lt;=Grace,0,IF(113=NPer,P120,IF(Method="Equal principal (reducing payments)",MIN(ROUND(EqPrin,2),P120),MIN(ROUND(Annuity-Q120,2),P120)))),2),0)</f>
        <v>0</v>
      </c>
    </row>
    <row r="121" customFormat="false" ht="15" hidden="false" customHeight="false" outlineLevel="0" collapsed="false">
      <c r="A121" s="38" t="str">
        <f aca="false">IF(AND(N(K120)&gt;0.005,A120&lt;NPer),A120+1,"")</f>
        <v/>
      </c>
      <c r="B121" s="39" t="str">
        <f aca="false">IF(A121="","",EDATE(Disb,A121*MPP))</f>
        <v/>
      </c>
      <c r="C121" s="40" t="str">
        <f aca="false">IF(A121="","",IF(A121&lt;=Grace,"Grace","Repayment"))</f>
        <v/>
      </c>
      <c r="D121" s="41" t="str">
        <f aca="false">IF(A121="","",K120)</f>
        <v/>
      </c>
      <c r="E121" s="41" t="str">
        <f aca="false">IF(AND(A121&lt;&gt;"",D121&gt;0.005),F121+G121,"")</f>
        <v/>
      </c>
      <c r="F121" s="41" t="str">
        <f aca="false">IF(AND(A121&lt;&gt;"",D121&gt;0.005),ROUND(D121*RP,2),"")</f>
        <v/>
      </c>
      <c r="G121" s="41" t="str">
        <f aca="false">IF(AND(A121&lt;&gt;"",D121&gt;0.005),IF(A121&lt;=Grace,0,IF(A121=NPer,D121,IF(Method="Equal principal (reducing payments)",MIN(ROUND(EqPrin,2),D121),MIN(ROUND(Annuity-F121,2),D121)))),"")</f>
        <v/>
      </c>
      <c r="H121" s="41" t="str">
        <f aca="false">IF(AND(A121&lt;&gt;"",D121&gt;0.005),IF(A121&lt;=Grace,0,MIN(Extra,D121-G121)),"")</f>
        <v/>
      </c>
      <c r="I121" s="41" t="str">
        <f aca="false">IF(AND(A121&lt;&gt;"",D121&gt;0.005),MIN(SUMIF(LumpN,A121,LumpAmt),D121-G121-H121),"")</f>
        <v/>
      </c>
      <c r="J121" s="42" t="str">
        <f aca="false">IF(AND(A121&lt;&gt;"",D121&gt;0.005),E121+H121+I121,"")</f>
        <v/>
      </c>
      <c r="K121" s="42" t="str">
        <f aca="false">IF(AND(A121&lt;&gt;"",D121&gt;0.005),ROUND(D121-G121-H121-I121,2),"")</f>
        <v/>
      </c>
      <c r="L121" s="41" t="str">
        <f aca="false">IF(AND(A121&lt;&gt;"",D121&gt;0.005),L120+F121,"")</f>
        <v/>
      </c>
      <c r="M121" s="41" t="str">
        <f aca="false">IF(AND(A121&lt;&gt;"",D121&gt;0.005),M120+G121+H121+I121,"")</f>
        <v/>
      </c>
      <c r="N121" s="43" t="str">
        <f aca="false">IF(B121="","",YEAR(B121))</f>
        <v/>
      </c>
      <c r="O121" s="44" t="n">
        <f aca="false">IF(AND(A121&lt;&gt;"",D121&gt;0.005),J121,0)</f>
        <v>0</v>
      </c>
      <c r="P121" s="44" t="n">
        <f aca="false">R120</f>
        <v>0</v>
      </c>
      <c r="Q121" s="44" t="n">
        <f aca="false">IF(AND(P121&gt;0.005,114&lt;=NPer),ROUND(P121*RP,2),0)</f>
        <v>0</v>
      </c>
      <c r="R121" s="44" t="n">
        <f aca="false">IF(AND(P121&gt;0.005,114&lt;=NPer),ROUND(P121-IF(114&lt;=Grace,0,IF(114=NPer,P121,IF(Method="Equal principal (reducing payments)",MIN(ROUND(EqPrin,2),P121),MIN(ROUND(Annuity-Q121,2),P121)))),2),0)</f>
        <v>0</v>
      </c>
    </row>
    <row r="122" customFormat="false" ht="15" hidden="false" customHeight="false" outlineLevel="0" collapsed="false">
      <c r="A122" s="38" t="str">
        <f aca="false">IF(AND(N(K121)&gt;0.005,A121&lt;NPer),A121+1,"")</f>
        <v/>
      </c>
      <c r="B122" s="39" t="str">
        <f aca="false">IF(A122="","",EDATE(Disb,A122*MPP))</f>
        <v/>
      </c>
      <c r="C122" s="40" t="str">
        <f aca="false">IF(A122="","",IF(A122&lt;=Grace,"Grace","Repayment"))</f>
        <v/>
      </c>
      <c r="D122" s="41" t="str">
        <f aca="false">IF(A122="","",K121)</f>
        <v/>
      </c>
      <c r="E122" s="41" t="str">
        <f aca="false">IF(AND(A122&lt;&gt;"",D122&gt;0.005),F122+G122,"")</f>
        <v/>
      </c>
      <c r="F122" s="41" t="str">
        <f aca="false">IF(AND(A122&lt;&gt;"",D122&gt;0.005),ROUND(D122*RP,2),"")</f>
        <v/>
      </c>
      <c r="G122" s="41" t="str">
        <f aca="false">IF(AND(A122&lt;&gt;"",D122&gt;0.005),IF(A122&lt;=Grace,0,IF(A122=NPer,D122,IF(Method="Equal principal (reducing payments)",MIN(ROUND(EqPrin,2),D122),MIN(ROUND(Annuity-F122,2),D122)))),"")</f>
        <v/>
      </c>
      <c r="H122" s="41" t="str">
        <f aca="false">IF(AND(A122&lt;&gt;"",D122&gt;0.005),IF(A122&lt;=Grace,0,MIN(Extra,D122-G122)),"")</f>
        <v/>
      </c>
      <c r="I122" s="41" t="str">
        <f aca="false">IF(AND(A122&lt;&gt;"",D122&gt;0.005),MIN(SUMIF(LumpN,A122,LumpAmt),D122-G122-H122),"")</f>
        <v/>
      </c>
      <c r="J122" s="42" t="str">
        <f aca="false">IF(AND(A122&lt;&gt;"",D122&gt;0.005),E122+H122+I122,"")</f>
        <v/>
      </c>
      <c r="K122" s="42" t="str">
        <f aca="false">IF(AND(A122&lt;&gt;"",D122&gt;0.005),ROUND(D122-G122-H122-I122,2),"")</f>
        <v/>
      </c>
      <c r="L122" s="41" t="str">
        <f aca="false">IF(AND(A122&lt;&gt;"",D122&gt;0.005),L121+F122,"")</f>
        <v/>
      </c>
      <c r="M122" s="41" t="str">
        <f aca="false">IF(AND(A122&lt;&gt;"",D122&gt;0.005),M121+G122+H122+I122,"")</f>
        <v/>
      </c>
      <c r="N122" s="43" t="str">
        <f aca="false">IF(B122="","",YEAR(B122))</f>
        <v/>
      </c>
      <c r="O122" s="44" t="n">
        <f aca="false">IF(AND(A122&lt;&gt;"",D122&gt;0.005),J122,0)</f>
        <v>0</v>
      </c>
      <c r="P122" s="44" t="n">
        <f aca="false">R121</f>
        <v>0</v>
      </c>
      <c r="Q122" s="44" t="n">
        <f aca="false">IF(AND(P122&gt;0.005,115&lt;=NPer),ROUND(P122*RP,2),0)</f>
        <v>0</v>
      </c>
      <c r="R122" s="44" t="n">
        <f aca="false">IF(AND(P122&gt;0.005,115&lt;=NPer),ROUND(P122-IF(115&lt;=Grace,0,IF(115=NPer,P122,IF(Method="Equal principal (reducing payments)",MIN(ROUND(EqPrin,2),P122),MIN(ROUND(Annuity-Q122,2),P122)))),2),0)</f>
        <v>0</v>
      </c>
    </row>
    <row r="123" customFormat="false" ht="15" hidden="false" customHeight="false" outlineLevel="0" collapsed="false">
      <c r="A123" s="38" t="str">
        <f aca="false">IF(AND(N(K122)&gt;0.005,A122&lt;NPer),A122+1,"")</f>
        <v/>
      </c>
      <c r="B123" s="39" t="str">
        <f aca="false">IF(A123="","",EDATE(Disb,A123*MPP))</f>
        <v/>
      </c>
      <c r="C123" s="40" t="str">
        <f aca="false">IF(A123="","",IF(A123&lt;=Grace,"Grace","Repayment"))</f>
        <v/>
      </c>
      <c r="D123" s="41" t="str">
        <f aca="false">IF(A123="","",K122)</f>
        <v/>
      </c>
      <c r="E123" s="41" t="str">
        <f aca="false">IF(AND(A123&lt;&gt;"",D123&gt;0.005),F123+G123,"")</f>
        <v/>
      </c>
      <c r="F123" s="41" t="str">
        <f aca="false">IF(AND(A123&lt;&gt;"",D123&gt;0.005),ROUND(D123*RP,2),"")</f>
        <v/>
      </c>
      <c r="G123" s="41" t="str">
        <f aca="false">IF(AND(A123&lt;&gt;"",D123&gt;0.005),IF(A123&lt;=Grace,0,IF(A123=NPer,D123,IF(Method="Equal principal (reducing payments)",MIN(ROUND(EqPrin,2),D123),MIN(ROUND(Annuity-F123,2),D123)))),"")</f>
        <v/>
      </c>
      <c r="H123" s="41" t="str">
        <f aca="false">IF(AND(A123&lt;&gt;"",D123&gt;0.005),IF(A123&lt;=Grace,0,MIN(Extra,D123-G123)),"")</f>
        <v/>
      </c>
      <c r="I123" s="41" t="str">
        <f aca="false">IF(AND(A123&lt;&gt;"",D123&gt;0.005),MIN(SUMIF(LumpN,A123,LumpAmt),D123-G123-H123),"")</f>
        <v/>
      </c>
      <c r="J123" s="42" t="str">
        <f aca="false">IF(AND(A123&lt;&gt;"",D123&gt;0.005),E123+H123+I123,"")</f>
        <v/>
      </c>
      <c r="K123" s="42" t="str">
        <f aca="false">IF(AND(A123&lt;&gt;"",D123&gt;0.005),ROUND(D123-G123-H123-I123,2),"")</f>
        <v/>
      </c>
      <c r="L123" s="41" t="str">
        <f aca="false">IF(AND(A123&lt;&gt;"",D123&gt;0.005),L122+F123,"")</f>
        <v/>
      </c>
      <c r="M123" s="41" t="str">
        <f aca="false">IF(AND(A123&lt;&gt;"",D123&gt;0.005),M122+G123+H123+I123,"")</f>
        <v/>
      </c>
      <c r="N123" s="43" t="str">
        <f aca="false">IF(B123="","",YEAR(B123))</f>
        <v/>
      </c>
      <c r="O123" s="44" t="n">
        <f aca="false">IF(AND(A123&lt;&gt;"",D123&gt;0.005),J123,0)</f>
        <v>0</v>
      </c>
      <c r="P123" s="44" t="n">
        <f aca="false">R122</f>
        <v>0</v>
      </c>
      <c r="Q123" s="44" t="n">
        <f aca="false">IF(AND(P123&gt;0.005,116&lt;=NPer),ROUND(P123*RP,2),0)</f>
        <v>0</v>
      </c>
      <c r="R123" s="44" t="n">
        <f aca="false">IF(AND(P123&gt;0.005,116&lt;=NPer),ROUND(P123-IF(116&lt;=Grace,0,IF(116=NPer,P123,IF(Method="Equal principal (reducing payments)",MIN(ROUND(EqPrin,2),P123),MIN(ROUND(Annuity-Q123,2),P123)))),2),0)</f>
        <v>0</v>
      </c>
    </row>
    <row r="124" customFormat="false" ht="15" hidden="false" customHeight="false" outlineLevel="0" collapsed="false">
      <c r="A124" s="38" t="str">
        <f aca="false">IF(AND(N(K123)&gt;0.005,A123&lt;NPer),A123+1,"")</f>
        <v/>
      </c>
      <c r="B124" s="39" t="str">
        <f aca="false">IF(A124="","",EDATE(Disb,A124*MPP))</f>
        <v/>
      </c>
      <c r="C124" s="40" t="str">
        <f aca="false">IF(A124="","",IF(A124&lt;=Grace,"Grace","Repayment"))</f>
        <v/>
      </c>
      <c r="D124" s="41" t="str">
        <f aca="false">IF(A124="","",K123)</f>
        <v/>
      </c>
      <c r="E124" s="41" t="str">
        <f aca="false">IF(AND(A124&lt;&gt;"",D124&gt;0.005),F124+G124,"")</f>
        <v/>
      </c>
      <c r="F124" s="41" t="str">
        <f aca="false">IF(AND(A124&lt;&gt;"",D124&gt;0.005),ROUND(D124*RP,2),"")</f>
        <v/>
      </c>
      <c r="G124" s="41" t="str">
        <f aca="false">IF(AND(A124&lt;&gt;"",D124&gt;0.005),IF(A124&lt;=Grace,0,IF(A124=NPer,D124,IF(Method="Equal principal (reducing payments)",MIN(ROUND(EqPrin,2),D124),MIN(ROUND(Annuity-F124,2),D124)))),"")</f>
        <v/>
      </c>
      <c r="H124" s="41" t="str">
        <f aca="false">IF(AND(A124&lt;&gt;"",D124&gt;0.005),IF(A124&lt;=Grace,0,MIN(Extra,D124-G124)),"")</f>
        <v/>
      </c>
      <c r="I124" s="41" t="str">
        <f aca="false">IF(AND(A124&lt;&gt;"",D124&gt;0.005),MIN(SUMIF(LumpN,A124,LumpAmt),D124-G124-H124),"")</f>
        <v/>
      </c>
      <c r="J124" s="42" t="str">
        <f aca="false">IF(AND(A124&lt;&gt;"",D124&gt;0.005),E124+H124+I124,"")</f>
        <v/>
      </c>
      <c r="K124" s="42" t="str">
        <f aca="false">IF(AND(A124&lt;&gt;"",D124&gt;0.005),ROUND(D124-G124-H124-I124,2),"")</f>
        <v/>
      </c>
      <c r="L124" s="41" t="str">
        <f aca="false">IF(AND(A124&lt;&gt;"",D124&gt;0.005),L123+F124,"")</f>
        <v/>
      </c>
      <c r="M124" s="41" t="str">
        <f aca="false">IF(AND(A124&lt;&gt;"",D124&gt;0.005),M123+G124+H124+I124,"")</f>
        <v/>
      </c>
      <c r="N124" s="43" t="str">
        <f aca="false">IF(B124="","",YEAR(B124))</f>
        <v/>
      </c>
      <c r="O124" s="44" t="n">
        <f aca="false">IF(AND(A124&lt;&gt;"",D124&gt;0.005),J124,0)</f>
        <v>0</v>
      </c>
      <c r="P124" s="44" t="n">
        <f aca="false">R123</f>
        <v>0</v>
      </c>
      <c r="Q124" s="44" t="n">
        <f aca="false">IF(AND(P124&gt;0.005,117&lt;=NPer),ROUND(P124*RP,2),0)</f>
        <v>0</v>
      </c>
      <c r="R124" s="44" t="n">
        <f aca="false">IF(AND(P124&gt;0.005,117&lt;=NPer),ROUND(P124-IF(117&lt;=Grace,0,IF(117=NPer,P124,IF(Method="Equal principal (reducing payments)",MIN(ROUND(EqPrin,2),P124),MIN(ROUND(Annuity-Q124,2),P124)))),2),0)</f>
        <v>0</v>
      </c>
    </row>
    <row r="125" customFormat="false" ht="15" hidden="false" customHeight="false" outlineLevel="0" collapsed="false">
      <c r="A125" s="38" t="str">
        <f aca="false">IF(AND(N(K124)&gt;0.005,A124&lt;NPer),A124+1,"")</f>
        <v/>
      </c>
      <c r="B125" s="39" t="str">
        <f aca="false">IF(A125="","",EDATE(Disb,A125*MPP))</f>
        <v/>
      </c>
      <c r="C125" s="40" t="str">
        <f aca="false">IF(A125="","",IF(A125&lt;=Grace,"Grace","Repayment"))</f>
        <v/>
      </c>
      <c r="D125" s="41" t="str">
        <f aca="false">IF(A125="","",K124)</f>
        <v/>
      </c>
      <c r="E125" s="41" t="str">
        <f aca="false">IF(AND(A125&lt;&gt;"",D125&gt;0.005),F125+G125,"")</f>
        <v/>
      </c>
      <c r="F125" s="41" t="str">
        <f aca="false">IF(AND(A125&lt;&gt;"",D125&gt;0.005),ROUND(D125*RP,2),"")</f>
        <v/>
      </c>
      <c r="G125" s="41" t="str">
        <f aca="false">IF(AND(A125&lt;&gt;"",D125&gt;0.005),IF(A125&lt;=Grace,0,IF(A125=NPer,D125,IF(Method="Equal principal (reducing payments)",MIN(ROUND(EqPrin,2),D125),MIN(ROUND(Annuity-F125,2),D125)))),"")</f>
        <v/>
      </c>
      <c r="H125" s="41" t="str">
        <f aca="false">IF(AND(A125&lt;&gt;"",D125&gt;0.005),IF(A125&lt;=Grace,0,MIN(Extra,D125-G125)),"")</f>
        <v/>
      </c>
      <c r="I125" s="41" t="str">
        <f aca="false">IF(AND(A125&lt;&gt;"",D125&gt;0.005),MIN(SUMIF(LumpN,A125,LumpAmt),D125-G125-H125),"")</f>
        <v/>
      </c>
      <c r="J125" s="42" t="str">
        <f aca="false">IF(AND(A125&lt;&gt;"",D125&gt;0.005),E125+H125+I125,"")</f>
        <v/>
      </c>
      <c r="K125" s="42" t="str">
        <f aca="false">IF(AND(A125&lt;&gt;"",D125&gt;0.005),ROUND(D125-G125-H125-I125,2),"")</f>
        <v/>
      </c>
      <c r="L125" s="41" t="str">
        <f aca="false">IF(AND(A125&lt;&gt;"",D125&gt;0.005),L124+F125,"")</f>
        <v/>
      </c>
      <c r="M125" s="41" t="str">
        <f aca="false">IF(AND(A125&lt;&gt;"",D125&gt;0.005),M124+G125+H125+I125,"")</f>
        <v/>
      </c>
      <c r="N125" s="43" t="str">
        <f aca="false">IF(B125="","",YEAR(B125))</f>
        <v/>
      </c>
      <c r="O125" s="44" t="n">
        <f aca="false">IF(AND(A125&lt;&gt;"",D125&gt;0.005),J125,0)</f>
        <v>0</v>
      </c>
      <c r="P125" s="44" t="n">
        <f aca="false">R124</f>
        <v>0</v>
      </c>
      <c r="Q125" s="44" t="n">
        <f aca="false">IF(AND(P125&gt;0.005,118&lt;=NPer),ROUND(P125*RP,2),0)</f>
        <v>0</v>
      </c>
      <c r="R125" s="44" t="n">
        <f aca="false">IF(AND(P125&gt;0.005,118&lt;=NPer),ROUND(P125-IF(118&lt;=Grace,0,IF(118=NPer,P125,IF(Method="Equal principal (reducing payments)",MIN(ROUND(EqPrin,2),P125),MIN(ROUND(Annuity-Q125,2),P125)))),2),0)</f>
        <v>0</v>
      </c>
    </row>
    <row r="126" customFormat="false" ht="15" hidden="false" customHeight="false" outlineLevel="0" collapsed="false">
      <c r="A126" s="38" t="str">
        <f aca="false">IF(AND(N(K125)&gt;0.005,A125&lt;NPer),A125+1,"")</f>
        <v/>
      </c>
      <c r="B126" s="39" t="str">
        <f aca="false">IF(A126="","",EDATE(Disb,A126*MPP))</f>
        <v/>
      </c>
      <c r="C126" s="40" t="str">
        <f aca="false">IF(A126="","",IF(A126&lt;=Grace,"Grace","Repayment"))</f>
        <v/>
      </c>
      <c r="D126" s="41" t="str">
        <f aca="false">IF(A126="","",K125)</f>
        <v/>
      </c>
      <c r="E126" s="41" t="str">
        <f aca="false">IF(AND(A126&lt;&gt;"",D126&gt;0.005),F126+G126,"")</f>
        <v/>
      </c>
      <c r="F126" s="41" t="str">
        <f aca="false">IF(AND(A126&lt;&gt;"",D126&gt;0.005),ROUND(D126*RP,2),"")</f>
        <v/>
      </c>
      <c r="G126" s="41" t="str">
        <f aca="false">IF(AND(A126&lt;&gt;"",D126&gt;0.005),IF(A126&lt;=Grace,0,IF(A126=NPer,D126,IF(Method="Equal principal (reducing payments)",MIN(ROUND(EqPrin,2),D126),MIN(ROUND(Annuity-F126,2),D126)))),"")</f>
        <v/>
      </c>
      <c r="H126" s="41" t="str">
        <f aca="false">IF(AND(A126&lt;&gt;"",D126&gt;0.005),IF(A126&lt;=Grace,0,MIN(Extra,D126-G126)),"")</f>
        <v/>
      </c>
      <c r="I126" s="41" t="str">
        <f aca="false">IF(AND(A126&lt;&gt;"",D126&gt;0.005),MIN(SUMIF(LumpN,A126,LumpAmt),D126-G126-H126),"")</f>
        <v/>
      </c>
      <c r="J126" s="42" t="str">
        <f aca="false">IF(AND(A126&lt;&gt;"",D126&gt;0.005),E126+H126+I126,"")</f>
        <v/>
      </c>
      <c r="K126" s="42" t="str">
        <f aca="false">IF(AND(A126&lt;&gt;"",D126&gt;0.005),ROUND(D126-G126-H126-I126,2),"")</f>
        <v/>
      </c>
      <c r="L126" s="41" t="str">
        <f aca="false">IF(AND(A126&lt;&gt;"",D126&gt;0.005),L125+F126,"")</f>
        <v/>
      </c>
      <c r="M126" s="41" t="str">
        <f aca="false">IF(AND(A126&lt;&gt;"",D126&gt;0.005),M125+G126+H126+I126,"")</f>
        <v/>
      </c>
      <c r="N126" s="43" t="str">
        <f aca="false">IF(B126="","",YEAR(B126))</f>
        <v/>
      </c>
      <c r="O126" s="44" t="n">
        <f aca="false">IF(AND(A126&lt;&gt;"",D126&gt;0.005),J126,0)</f>
        <v>0</v>
      </c>
      <c r="P126" s="44" t="n">
        <f aca="false">R125</f>
        <v>0</v>
      </c>
      <c r="Q126" s="44" t="n">
        <f aca="false">IF(AND(P126&gt;0.005,119&lt;=NPer),ROUND(P126*RP,2),0)</f>
        <v>0</v>
      </c>
      <c r="R126" s="44" t="n">
        <f aca="false">IF(AND(P126&gt;0.005,119&lt;=NPer),ROUND(P126-IF(119&lt;=Grace,0,IF(119=NPer,P126,IF(Method="Equal principal (reducing payments)",MIN(ROUND(EqPrin,2),P126),MIN(ROUND(Annuity-Q126,2),P126)))),2),0)</f>
        <v>0</v>
      </c>
    </row>
    <row r="127" customFormat="false" ht="15" hidden="false" customHeight="false" outlineLevel="0" collapsed="false">
      <c r="A127" s="38" t="str">
        <f aca="false">IF(AND(N(K126)&gt;0.005,A126&lt;NPer),A126+1,"")</f>
        <v/>
      </c>
      <c r="B127" s="39" t="str">
        <f aca="false">IF(A127="","",EDATE(Disb,A127*MPP))</f>
        <v/>
      </c>
      <c r="C127" s="40" t="str">
        <f aca="false">IF(A127="","",IF(A127&lt;=Grace,"Grace","Repayment"))</f>
        <v/>
      </c>
      <c r="D127" s="41" t="str">
        <f aca="false">IF(A127="","",K126)</f>
        <v/>
      </c>
      <c r="E127" s="41" t="str">
        <f aca="false">IF(AND(A127&lt;&gt;"",D127&gt;0.005),F127+G127,"")</f>
        <v/>
      </c>
      <c r="F127" s="41" t="str">
        <f aca="false">IF(AND(A127&lt;&gt;"",D127&gt;0.005),ROUND(D127*RP,2),"")</f>
        <v/>
      </c>
      <c r="G127" s="41" t="str">
        <f aca="false">IF(AND(A127&lt;&gt;"",D127&gt;0.005),IF(A127&lt;=Grace,0,IF(A127=NPer,D127,IF(Method="Equal principal (reducing payments)",MIN(ROUND(EqPrin,2),D127),MIN(ROUND(Annuity-F127,2),D127)))),"")</f>
        <v/>
      </c>
      <c r="H127" s="41" t="str">
        <f aca="false">IF(AND(A127&lt;&gt;"",D127&gt;0.005),IF(A127&lt;=Grace,0,MIN(Extra,D127-G127)),"")</f>
        <v/>
      </c>
      <c r="I127" s="41" t="str">
        <f aca="false">IF(AND(A127&lt;&gt;"",D127&gt;0.005),MIN(SUMIF(LumpN,A127,LumpAmt),D127-G127-H127),"")</f>
        <v/>
      </c>
      <c r="J127" s="42" t="str">
        <f aca="false">IF(AND(A127&lt;&gt;"",D127&gt;0.005),E127+H127+I127,"")</f>
        <v/>
      </c>
      <c r="K127" s="42" t="str">
        <f aca="false">IF(AND(A127&lt;&gt;"",D127&gt;0.005),ROUND(D127-G127-H127-I127,2),"")</f>
        <v/>
      </c>
      <c r="L127" s="41" t="str">
        <f aca="false">IF(AND(A127&lt;&gt;"",D127&gt;0.005),L126+F127,"")</f>
        <v/>
      </c>
      <c r="M127" s="41" t="str">
        <f aca="false">IF(AND(A127&lt;&gt;"",D127&gt;0.005),M126+G127+H127+I127,"")</f>
        <v/>
      </c>
      <c r="N127" s="43" t="str">
        <f aca="false">IF(B127="","",YEAR(B127))</f>
        <v/>
      </c>
      <c r="O127" s="44" t="n">
        <f aca="false">IF(AND(A127&lt;&gt;"",D127&gt;0.005),J127,0)</f>
        <v>0</v>
      </c>
      <c r="P127" s="44" t="n">
        <f aca="false">R126</f>
        <v>0</v>
      </c>
      <c r="Q127" s="44" t="n">
        <f aca="false">IF(AND(P127&gt;0.005,120&lt;=NPer),ROUND(P127*RP,2),0)</f>
        <v>0</v>
      </c>
      <c r="R127" s="44" t="n">
        <f aca="false">IF(AND(P127&gt;0.005,120&lt;=NPer),ROUND(P127-IF(120&lt;=Grace,0,IF(120=NPer,P127,IF(Method="Equal principal (reducing payments)",MIN(ROUND(EqPrin,2),P127),MIN(ROUND(Annuity-Q127,2),P127)))),2),0)</f>
        <v>0</v>
      </c>
    </row>
    <row r="128" customFormat="false" ht="15" hidden="false" customHeight="false" outlineLevel="0" collapsed="false">
      <c r="A128" s="38" t="str">
        <f aca="false">IF(AND(N(K127)&gt;0.005,A127&lt;NPer),A127+1,"")</f>
        <v/>
      </c>
      <c r="B128" s="39" t="str">
        <f aca="false">IF(A128="","",EDATE(Disb,A128*MPP))</f>
        <v/>
      </c>
      <c r="C128" s="40" t="str">
        <f aca="false">IF(A128="","",IF(A128&lt;=Grace,"Grace","Repayment"))</f>
        <v/>
      </c>
      <c r="D128" s="41" t="str">
        <f aca="false">IF(A128="","",K127)</f>
        <v/>
      </c>
      <c r="E128" s="41" t="str">
        <f aca="false">IF(AND(A128&lt;&gt;"",D128&gt;0.005),F128+G128,"")</f>
        <v/>
      </c>
      <c r="F128" s="41" t="str">
        <f aca="false">IF(AND(A128&lt;&gt;"",D128&gt;0.005),ROUND(D128*RP,2),"")</f>
        <v/>
      </c>
      <c r="G128" s="41" t="str">
        <f aca="false">IF(AND(A128&lt;&gt;"",D128&gt;0.005),IF(A128&lt;=Grace,0,IF(A128=NPer,D128,IF(Method="Equal principal (reducing payments)",MIN(ROUND(EqPrin,2),D128),MIN(ROUND(Annuity-F128,2),D128)))),"")</f>
        <v/>
      </c>
      <c r="H128" s="41" t="str">
        <f aca="false">IF(AND(A128&lt;&gt;"",D128&gt;0.005),IF(A128&lt;=Grace,0,MIN(Extra,D128-G128)),"")</f>
        <v/>
      </c>
      <c r="I128" s="41" t="str">
        <f aca="false">IF(AND(A128&lt;&gt;"",D128&gt;0.005),MIN(SUMIF(LumpN,A128,LumpAmt),D128-G128-H128),"")</f>
        <v/>
      </c>
      <c r="J128" s="42" t="str">
        <f aca="false">IF(AND(A128&lt;&gt;"",D128&gt;0.005),E128+H128+I128,"")</f>
        <v/>
      </c>
      <c r="K128" s="42" t="str">
        <f aca="false">IF(AND(A128&lt;&gt;"",D128&gt;0.005),ROUND(D128-G128-H128-I128,2),"")</f>
        <v/>
      </c>
      <c r="L128" s="41" t="str">
        <f aca="false">IF(AND(A128&lt;&gt;"",D128&gt;0.005),L127+F128,"")</f>
        <v/>
      </c>
      <c r="M128" s="41" t="str">
        <f aca="false">IF(AND(A128&lt;&gt;"",D128&gt;0.005),M127+G128+H128+I128,"")</f>
        <v/>
      </c>
      <c r="N128" s="43" t="str">
        <f aca="false">IF(B128="","",YEAR(B128))</f>
        <v/>
      </c>
      <c r="O128" s="44" t="n">
        <f aca="false">IF(AND(A128&lt;&gt;"",D128&gt;0.005),J128,0)</f>
        <v>0</v>
      </c>
      <c r="P128" s="44" t="n">
        <f aca="false">R127</f>
        <v>0</v>
      </c>
      <c r="Q128" s="44" t="n">
        <f aca="false">IF(AND(P128&gt;0.005,121&lt;=NPer),ROUND(P128*RP,2),0)</f>
        <v>0</v>
      </c>
      <c r="R128" s="44" t="n">
        <f aca="false">IF(AND(P128&gt;0.005,121&lt;=NPer),ROUND(P128-IF(121&lt;=Grace,0,IF(121=NPer,P128,IF(Method="Equal principal (reducing payments)",MIN(ROUND(EqPrin,2),P128),MIN(ROUND(Annuity-Q128,2),P128)))),2),0)</f>
        <v>0</v>
      </c>
    </row>
    <row r="129" customFormat="false" ht="15" hidden="false" customHeight="false" outlineLevel="0" collapsed="false">
      <c r="A129" s="38" t="str">
        <f aca="false">IF(AND(N(K128)&gt;0.005,A128&lt;NPer),A128+1,"")</f>
        <v/>
      </c>
      <c r="B129" s="39" t="str">
        <f aca="false">IF(A129="","",EDATE(Disb,A129*MPP))</f>
        <v/>
      </c>
      <c r="C129" s="40" t="str">
        <f aca="false">IF(A129="","",IF(A129&lt;=Grace,"Grace","Repayment"))</f>
        <v/>
      </c>
      <c r="D129" s="41" t="str">
        <f aca="false">IF(A129="","",K128)</f>
        <v/>
      </c>
      <c r="E129" s="41" t="str">
        <f aca="false">IF(AND(A129&lt;&gt;"",D129&gt;0.005),F129+G129,"")</f>
        <v/>
      </c>
      <c r="F129" s="41" t="str">
        <f aca="false">IF(AND(A129&lt;&gt;"",D129&gt;0.005),ROUND(D129*RP,2),"")</f>
        <v/>
      </c>
      <c r="G129" s="41" t="str">
        <f aca="false">IF(AND(A129&lt;&gt;"",D129&gt;0.005),IF(A129&lt;=Grace,0,IF(A129=NPer,D129,IF(Method="Equal principal (reducing payments)",MIN(ROUND(EqPrin,2),D129),MIN(ROUND(Annuity-F129,2),D129)))),"")</f>
        <v/>
      </c>
      <c r="H129" s="41" t="str">
        <f aca="false">IF(AND(A129&lt;&gt;"",D129&gt;0.005),IF(A129&lt;=Grace,0,MIN(Extra,D129-G129)),"")</f>
        <v/>
      </c>
      <c r="I129" s="41" t="str">
        <f aca="false">IF(AND(A129&lt;&gt;"",D129&gt;0.005),MIN(SUMIF(LumpN,A129,LumpAmt),D129-G129-H129),"")</f>
        <v/>
      </c>
      <c r="J129" s="42" t="str">
        <f aca="false">IF(AND(A129&lt;&gt;"",D129&gt;0.005),E129+H129+I129,"")</f>
        <v/>
      </c>
      <c r="K129" s="42" t="str">
        <f aca="false">IF(AND(A129&lt;&gt;"",D129&gt;0.005),ROUND(D129-G129-H129-I129,2),"")</f>
        <v/>
      </c>
      <c r="L129" s="41" t="str">
        <f aca="false">IF(AND(A129&lt;&gt;"",D129&gt;0.005),L128+F129,"")</f>
        <v/>
      </c>
      <c r="M129" s="41" t="str">
        <f aca="false">IF(AND(A129&lt;&gt;"",D129&gt;0.005),M128+G129+H129+I129,"")</f>
        <v/>
      </c>
      <c r="N129" s="43" t="str">
        <f aca="false">IF(B129="","",YEAR(B129))</f>
        <v/>
      </c>
      <c r="O129" s="44" t="n">
        <f aca="false">IF(AND(A129&lt;&gt;"",D129&gt;0.005),J129,0)</f>
        <v>0</v>
      </c>
      <c r="P129" s="44" t="n">
        <f aca="false">R128</f>
        <v>0</v>
      </c>
      <c r="Q129" s="44" t="n">
        <f aca="false">IF(AND(P129&gt;0.005,122&lt;=NPer),ROUND(P129*RP,2),0)</f>
        <v>0</v>
      </c>
      <c r="R129" s="44" t="n">
        <f aca="false">IF(AND(P129&gt;0.005,122&lt;=NPer),ROUND(P129-IF(122&lt;=Grace,0,IF(122=NPer,P129,IF(Method="Equal principal (reducing payments)",MIN(ROUND(EqPrin,2),P129),MIN(ROUND(Annuity-Q129,2),P129)))),2),0)</f>
        <v>0</v>
      </c>
    </row>
    <row r="130" customFormat="false" ht="15" hidden="false" customHeight="false" outlineLevel="0" collapsed="false">
      <c r="A130" s="38" t="str">
        <f aca="false">IF(AND(N(K129)&gt;0.005,A129&lt;NPer),A129+1,"")</f>
        <v/>
      </c>
      <c r="B130" s="39" t="str">
        <f aca="false">IF(A130="","",EDATE(Disb,A130*MPP))</f>
        <v/>
      </c>
      <c r="C130" s="40" t="str">
        <f aca="false">IF(A130="","",IF(A130&lt;=Grace,"Grace","Repayment"))</f>
        <v/>
      </c>
      <c r="D130" s="41" t="str">
        <f aca="false">IF(A130="","",K129)</f>
        <v/>
      </c>
      <c r="E130" s="41" t="str">
        <f aca="false">IF(AND(A130&lt;&gt;"",D130&gt;0.005),F130+G130,"")</f>
        <v/>
      </c>
      <c r="F130" s="41" t="str">
        <f aca="false">IF(AND(A130&lt;&gt;"",D130&gt;0.005),ROUND(D130*RP,2),"")</f>
        <v/>
      </c>
      <c r="G130" s="41" t="str">
        <f aca="false">IF(AND(A130&lt;&gt;"",D130&gt;0.005),IF(A130&lt;=Grace,0,IF(A130=NPer,D130,IF(Method="Equal principal (reducing payments)",MIN(ROUND(EqPrin,2),D130),MIN(ROUND(Annuity-F130,2),D130)))),"")</f>
        <v/>
      </c>
      <c r="H130" s="41" t="str">
        <f aca="false">IF(AND(A130&lt;&gt;"",D130&gt;0.005),IF(A130&lt;=Grace,0,MIN(Extra,D130-G130)),"")</f>
        <v/>
      </c>
      <c r="I130" s="41" t="str">
        <f aca="false">IF(AND(A130&lt;&gt;"",D130&gt;0.005),MIN(SUMIF(LumpN,A130,LumpAmt),D130-G130-H130),"")</f>
        <v/>
      </c>
      <c r="J130" s="42" t="str">
        <f aca="false">IF(AND(A130&lt;&gt;"",D130&gt;0.005),E130+H130+I130,"")</f>
        <v/>
      </c>
      <c r="K130" s="42" t="str">
        <f aca="false">IF(AND(A130&lt;&gt;"",D130&gt;0.005),ROUND(D130-G130-H130-I130,2),"")</f>
        <v/>
      </c>
      <c r="L130" s="41" t="str">
        <f aca="false">IF(AND(A130&lt;&gt;"",D130&gt;0.005),L129+F130,"")</f>
        <v/>
      </c>
      <c r="M130" s="41" t="str">
        <f aca="false">IF(AND(A130&lt;&gt;"",D130&gt;0.005),M129+G130+H130+I130,"")</f>
        <v/>
      </c>
      <c r="N130" s="43" t="str">
        <f aca="false">IF(B130="","",YEAR(B130))</f>
        <v/>
      </c>
      <c r="O130" s="44" t="n">
        <f aca="false">IF(AND(A130&lt;&gt;"",D130&gt;0.005),J130,0)</f>
        <v>0</v>
      </c>
      <c r="P130" s="44" t="n">
        <f aca="false">R129</f>
        <v>0</v>
      </c>
      <c r="Q130" s="44" t="n">
        <f aca="false">IF(AND(P130&gt;0.005,123&lt;=NPer),ROUND(P130*RP,2),0)</f>
        <v>0</v>
      </c>
      <c r="R130" s="44" t="n">
        <f aca="false">IF(AND(P130&gt;0.005,123&lt;=NPer),ROUND(P130-IF(123&lt;=Grace,0,IF(123=NPer,P130,IF(Method="Equal principal (reducing payments)",MIN(ROUND(EqPrin,2),P130),MIN(ROUND(Annuity-Q130,2),P130)))),2),0)</f>
        <v>0</v>
      </c>
    </row>
    <row r="131" customFormat="false" ht="15" hidden="false" customHeight="false" outlineLevel="0" collapsed="false">
      <c r="A131" s="38" t="str">
        <f aca="false">IF(AND(N(K130)&gt;0.005,A130&lt;NPer),A130+1,"")</f>
        <v/>
      </c>
      <c r="B131" s="39" t="str">
        <f aca="false">IF(A131="","",EDATE(Disb,A131*MPP))</f>
        <v/>
      </c>
      <c r="C131" s="40" t="str">
        <f aca="false">IF(A131="","",IF(A131&lt;=Grace,"Grace","Repayment"))</f>
        <v/>
      </c>
      <c r="D131" s="41" t="str">
        <f aca="false">IF(A131="","",K130)</f>
        <v/>
      </c>
      <c r="E131" s="41" t="str">
        <f aca="false">IF(AND(A131&lt;&gt;"",D131&gt;0.005),F131+G131,"")</f>
        <v/>
      </c>
      <c r="F131" s="41" t="str">
        <f aca="false">IF(AND(A131&lt;&gt;"",D131&gt;0.005),ROUND(D131*RP,2),"")</f>
        <v/>
      </c>
      <c r="G131" s="41" t="str">
        <f aca="false">IF(AND(A131&lt;&gt;"",D131&gt;0.005),IF(A131&lt;=Grace,0,IF(A131=NPer,D131,IF(Method="Equal principal (reducing payments)",MIN(ROUND(EqPrin,2),D131),MIN(ROUND(Annuity-F131,2),D131)))),"")</f>
        <v/>
      </c>
      <c r="H131" s="41" t="str">
        <f aca="false">IF(AND(A131&lt;&gt;"",D131&gt;0.005),IF(A131&lt;=Grace,0,MIN(Extra,D131-G131)),"")</f>
        <v/>
      </c>
      <c r="I131" s="41" t="str">
        <f aca="false">IF(AND(A131&lt;&gt;"",D131&gt;0.005),MIN(SUMIF(LumpN,A131,LumpAmt),D131-G131-H131),"")</f>
        <v/>
      </c>
      <c r="J131" s="42" t="str">
        <f aca="false">IF(AND(A131&lt;&gt;"",D131&gt;0.005),E131+H131+I131,"")</f>
        <v/>
      </c>
      <c r="K131" s="42" t="str">
        <f aca="false">IF(AND(A131&lt;&gt;"",D131&gt;0.005),ROUND(D131-G131-H131-I131,2),"")</f>
        <v/>
      </c>
      <c r="L131" s="41" t="str">
        <f aca="false">IF(AND(A131&lt;&gt;"",D131&gt;0.005),L130+F131,"")</f>
        <v/>
      </c>
      <c r="M131" s="41" t="str">
        <f aca="false">IF(AND(A131&lt;&gt;"",D131&gt;0.005),M130+G131+H131+I131,"")</f>
        <v/>
      </c>
      <c r="N131" s="43" t="str">
        <f aca="false">IF(B131="","",YEAR(B131))</f>
        <v/>
      </c>
      <c r="O131" s="44" t="n">
        <f aca="false">IF(AND(A131&lt;&gt;"",D131&gt;0.005),J131,0)</f>
        <v>0</v>
      </c>
      <c r="P131" s="44" t="n">
        <f aca="false">R130</f>
        <v>0</v>
      </c>
      <c r="Q131" s="44" t="n">
        <f aca="false">IF(AND(P131&gt;0.005,124&lt;=NPer),ROUND(P131*RP,2),0)</f>
        <v>0</v>
      </c>
      <c r="R131" s="44" t="n">
        <f aca="false">IF(AND(P131&gt;0.005,124&lt;=NPer),ROUND(P131-IF(124&lt;=Grace,0,IF(124=NPer,P131,IF(Method="Equal principal (reducing payments)",MIN(ROUND(EqPrin,2),P131),MIN(ROUND(Annuity-Q131,2),P131)))),2),0)</f>
        <v>0</v>
      </c>
    </row>
    <row r="132" customFormat="false" ht="15" hidden="false" customHeight="false" outlineLevel="0" collapsed="false">
      <c r="A132" s="38" t="str">
        <f aca="false">IF(AND(N(K131)&gt;0.005,A131&lt;NPer),A131+1,"")</f>
        <v/>
      </c>
      <c r="B132" s="39" t="str">
        <f aca="false">IF(A132="","",EDATE(Disb,A132*MPP))</f>
        <v/>
      </c>
      <c r="C132" s="40" t="str">
        <f aca="false">IF(A132="","",IF(A132&lt;=Grace,"Grace","Repayment"))</f>
        <v/>
      </c>
      <c r="D132" s="41" t="str">
        <f aca="false">IF(A132="","",K131)</f>
        <v/>
      </c>
      <c r="E132" s="41" t="str">
        <f aca="false">IF(AND(A132&lt;&gt;"",D132&gt;0.005),F132+G132,"")</f>
        <v/>
      </c>
      <c r="F132" s="41" t="str">
        <f aca="false">IF(AND(A132&lt;&gt;"",D132&gt;0.005),ROUND(D132*RP,2),"")</f>
        <v/>
      </c>
      <c r="G132" s="41" t="str">
        <f aca="false">IF(AND(A132&lt;&gt;"",D132&gt;0.005),IF(A132&lt;=Grace,0,IF(A132=NPer,D132,IF(Method="Equal principal (reducing payments)",MIN(ROUND(EqPrin,2),D132),MIN(ROUND(Annuity-F132,2),D132)))),"")</f>
        <v/>
      </c>
      <c r="H132" s="41" t="str">
        <f aca="false">IF(AND(A132&lt;&gt;"",D132&gt;0.005),IF(A132&lt;=Grace,0,MIN(Extra,D132-G132)),"")</f>
        <v/>
      </c>
      <c r="I132" s="41" t="str">
        <f aca="false">IF(AND(A132&lt;&gt;"",D132&gt;0.005),MIN(SUMIF(LumpN,A132,LumpAmt),D132-G132-H132),"")</f>
        <v/>
      </c>
      <c r="J132" s="42" t="str">
        <f aca="false">IF(AND(A132&lt;&gt;"",D132&gt;0.005),E132+H132+I132,"")</f>
        <v/>
      </c>
      <c r="K132" s="42" t="str">
        <f aca="false">IF(AND(A132&lt;&gt;"",D132&gt;0.005),ROUND(D132-G132-H132-I132,2),"")</f>
        <v/>
      </c>
      <c r="L132" s="41" t="str">
        <f aca="false">IF(AND(A132&lt;&gt;"",D132&gt;0.005),L131+F132,"")</f>
        <v/>
      </c>
      <c r="M132" s="41" t="str">
        <f aca="false">IF(AND(A132&lt;&gt;"",D132&gt;0.005),M131+G132+H132+I132,"")</f>
        <v/>
      </c>
      <c r="N132" s="43" t="str">
        <f aca="false">IF(B132="","",YEAR(B132))</f>
        <v/>
      </c>
      <c r="O132" s="44" t="n">
        <f aca="false">IF(AND(A132&lt;&gt;"",D132&gt;0.005),J132,0)</f>
        <v>0</v>
      </c>
      <c r="P132" s="44" t="n">
        <f aca="false">R131</f>
        <v>0</v>
      </c>
      <c r="Q132" s="44" t="n">
        <f aca="false">IF(AND(P132&gt;0.005,125&lt;=NPer),ROUND(P132*RP,2),0)</f>
        <v>0</v>
      </c>
      <c r="R132" s="44" t="n">
        <f aca="false">IF(AND(P132&gt;0.005,125&lt;=NPer),ROUND(P132-IF(125&lt;=Grace,0,IF(125=NPer,P132,IF(Method="Equal principal (reducing payments)",MIN(ROUND(EqPrin,2),P132),MIN(ROUND(Annuity-Q132,2),P132)))),2),0)</f>
        <v>0</v>
      </c>
    </row>
    <row r="133" customFormat="false" ht="15" hidden="false" customHeight="false" outlineLevel="0" collapsed="false">
      <c r="A133" s="38" t="str">
        <f aca="false">IF(AND(N(K132)&gt;0.005,A132&lt;NPer),A132+1,"")</f>
        <v/>
      </c>
      <c r="B133" s="39" t="str">
        <f aca="false">IF(A133="","",EDATE(Disb,A133*MPP))</f>
        <v/>
      </c>
      <c r="C133" s="40" t="str">
        <f aca="false">IF(A133="","",IF(A133&lt;=Grace,"Grace","Repayment"))</f>
        <v/>
      </c>
      <c r="D133" s="41" t="str">
        <f aca="false">IF(A133="","",K132)</f>
        <v/>
      </c>
      <c r="E133" s="41" t="str">
        <f aca="false">IF(AND(A133&lt;&gt;"",D133&gt;0.005),F133+G133,"")</f>
        <v/>
      </c>
      <c r="F133" s="41" t="str">
        <f aca="false">IF(AND(A133&lt;&gt;"",D133&gt;0.005),ROUND(D133*RP,2),"")</f>
        <v/>
      </c>
      <c r="G133" s="41" t="str">
        <f aca="false">IF(AND(A133&lt;&gt;"",D133&gt;0.005),IF(A133&lt;=Grace,0,IF(A133=NPer,D133,IF(Method="Equal principal (reducing payments)",MIN(ROUND(EqPrin,2),D133),MIN(ROUND(Annuity-F133,2),D133)))),"")</f>
        <v/>
      </c>
      <c r="H133" s="41" t="str">
        <f aca="false">IF(AND(A133&lt;&gt;"",D133&gt;0.005),IF(A133&lt;=Grace,0,MIN(Extra,D133-G133)),"")</f>
        <v/>
      </c>
      <c r="I133" s="41" t="str">
        <f aca="false">IF(AND(A133&lt;&gt;"",D133&gt;0.005),MIN(SUMIF(LumpN,A133,LumpAmt),D133-G133-H133),"")</f>
        <v/>
      </c>
      <c r="J133" s="42" t="str">
        <f aca="false">IF(AND(A133&lt;&gt;"",D133&gt;0.005),E133+H133+I133,"")</f>
        <v/>
      </c>
      <c r="K133" s="42" t="str">
        <f aca="false">IF(AND(A133&lt;&gt;"",D133&gt;0.005),ROUND(D133-G133-H133-I133,2),"")</f>
        <v/>
      </c>
      <c r="L133" s="41" t="str">
        <f aca="false">IF(AND(A133&lt;&gt;"",D133&gt;0.005),L132+F133,"")</f>
        <v/>
      </c>
      <c r="M133" s="41" t="str">
        <f aca="false">IF(AND(A133&lt;&gt;"",D133&gt;0.005),M132+G133+H133+I133,"")</f>
        <v/>
      </c>
      <c r="N133" s="43" t="str">
        <f aca="false">IF(B133="","",YEAR(B133))</f>
        <v/>
      </c>
      <c r="O133" s="44" t="n">
        <f aca="false">IF(AND(A133&lt;&gt;"",D133&gt;0.005),J133,0)</f>
        <v>0</v>
      </c>
      <c r="P133" s="44" t="n">
        <f aca="false">R132</f>
        <v>0</v>
      </c>
      <c r="Q133" s="44" t="n">
        <f aca="false">IF(AND(P133&gt;0.005,126&lt;=NPer),ROUND(P133*RP,2),0)</f>
        <v>0</v>
      </c>
      <c r="R133" s="44" t="n">
        <f aca="false">IF(AND(P133&gt;0.005,126&lt;=NPer),ROUND(P133-IF(126&lt;=Grace,0,IF(126=NPer,P133,IF(Method="Equal principal (reducing payments)",MIN(ROUND(EqPrin,2),P133),MIN(ROUND(Annuity-Q133,2),P133)))),2),0)</f>
        <v>0</v>
      </c>
    </row>
    <row r="134" customFormat="false" ht="15" hidden="false" customHeight="false" outlineLevel="0" collapsed="false">
      <c r="A134" s="38" t="str">
        <f aca="false">IF(AND(N(K133)&gt;0.005,A133&lt;NPer),A133+1,"")</f>
        <v/>
      </c>
      <c r="B134" s="39" t="str">
        <f aca="false">IF(A134="","",EDATE(Disb,A134*MPP))</f>
        <v/>
      </c>
      <c r="C134" s="40" t="str">
        <f aca="false">IF(A134="","",IF(A134&lt;=Grace,"Grace","Repayment"))</f>
        <v/>
      </c>
      <c r="D134" s="41" t="str">
        <f aca="false">IF(A134="","",K133)</f>
        <v/>
      </c>
      <c r="E134" s="41" t="str">
        <f aca="false">IF(AND(A134&lt;&gt;"",D134&gt;0.005),F134+G134,"")</f>
        <v/>
      </c>
      <c r="F134" s="41" t="str">
        <f aca="false">IF(AND(A134&lt;&gt;"",D134&gt;0.005),ROUND(D134*RP,2),"")</f>
        <v/>
      </c>
      <c r="G134" s="41" t="str">
        <f aca="false">IF(AND(A134&lt;&gt;"",D134&gt;0.005),IF(A134&lt;=Grace,0,IF(A134=NPer,D134,IF(Method="Equal principal (reducing payments)",MIN(ROUND(EqPrin,2),D134),MIN(ROUND(Annuity-F134,2),D134)))),"")</f>
        <v/>
      </c>
      <c r="H134" s="41" t="str">
        <f aca="false">IF(AND(A134&lt;&gt;"",D134&gt;0.005),IF(A134&lt;=Grace,0,MIN(Extra,D134-G134)),"")</f>
        <v/>
      </c>
      <c r="I134" s="41" t="str">
        <f aca="false">IF(AND(A134&lt;&gt;"",D134&gt;0.005),MIN(SUMIF(LumpN,A134,LumpAmt),D134-G134-H134),"")</f>
        <v/>
      </c>
      <c r="J134" s="42" t="str">
        <f aca="false">IF(AND(A134&lt;&gt;"",D134&gt;0.005),E134+H134+I134,"")</f>
        <v/>
      </c>
      <c r="K134" s="42" t="str">
        <f aca="false">IF(AND(A134&lt;&gt;"",D134&gt;0.005),ROUND(D134-G134-H134-I134,2),"")</f>
        <v/>
      </c>
      <c r="L134" s="41" t="str">
        <f aca="false">IF(AND(A134&lt;&gt;"",D134&gt;0.005),L133+F134,"")</f>
        <v/>
      </c>
      <c r="M134" s="41" t="str">
        <f aca="false">IF(AND(A134&lt;&gt;"",D134&gt;0.005),M133+G134+H134+I134,"")</f>
        <v/>
      </c>
      <c r="N134" s="43" t="str">
        <f aca="false">IF(B134="","",YEAR(B134))</f>
        <v/>
      </c>
      <c r="O134" s="44" t="n">
        <f aca="false">IF(AND(A134&lt;&gt;"",D134&gt;0.005),J134,0)</f>
        <v>0</v>
      </c>
      <c r="P134" s="44" t="n">
        <f aca="false">R133</f>
        <v>0</v>
      </c>
      <c r="Q134" s="44" t="n">
        <f aca="false">IF(AND(P134&gt;0.005,127&lt;=NPer),ROUND(P134*RP,2),0)</f>
        <v>0</v>
      </c>
      <c r="R134" s="44" t="n">
        <f aca="false">IF(AND(P134&gt;0.005,127&lt;=NPer),ROUND(P134-IF(127&lt;=Grace,0,IF(127=NPer,P134,IF(Method="Equal principal (reducing payments)",MIN(ROUND(EqPrin,2),P134),MIN(ROUND(Annuity-Q134,2),P134)))),2),0)</f>
        <v>0</v>
      </c>
    </row>
    <row r="135" customFormat="false" ht="15" hidden="false" customHeight="false" outlineLevel="0" collapsed="false">
      <c r="A135" s="38" t="str">
        <f aca="false">IF(AND(N(K134)&gt;0.005,A134&lt;NPer),A134+1,"")</f>
        <v/>
      </c>
      <c r="B135" s="39" t="str">
        <f aca="false">IF(A135="","",EDATE(Disb,A135*MPP))</f>
        <v/>
      </c>
      <c r="C135" s="40" t="str">
        <f aca="false">IF(A135="","",IF(A135&lt;=Grace,"Grace","Repayment"))</f>
        <v/>
      </c>
      <c r="D135" s="41" t="str">
        <f aca="false">IF(A135="","",K134)</f>
        <v/>
      </c>
      <c r="E135" s="41" t="str">
        <f aca="false">IF(AND(A135&lt;&gt;"",D135&gt;0.005),F135+G135,"")</f>
        <v/>
      </c>
      <c r="F135" s="41" t="str">
        <f aca="false">IF(AND(A135&lt;&gt;"",D135&gt;0.005),ROUND(D135*RP,2),"")</f>
        <v/>
      </c>
      <c r="G135" s="41" t="str">
        <f aca="false">IF(AND(A135&lt;&gt;"",D135&gt;0.005),IF(A135&lt;=Grace,0,IF(A135=NPer,D135,IF(Method="Equal principal (reducing payments)",MIN(ROUND(EqPrin,2),D135),MIN(ROUND(Annuity-F135,2),D135)))),"")</f>
        <v/>
      </c>
      <c r="H135" s="41" t="str">
        <f aca="false">IF(AND(A135&lt;&gt;"",D135&gt;0.005),IF(A135&lt;=Grace,0,MIN(Extra,D135-G135)),"")</f>
        <v/>
      </c>
      <c r="I135" s="41" t="str">
        <f aca="false">IF(AND(A135&lt;&gt;"",D135&gt;0.005),MIN(SUMIF(LumpN,A135,LumpAmt),D135-G135-H135),"")</f>
        <v/>
      </c>
      <c r="J135" s="42" t="str">
        <f aca="false">IF(AND(A135&lt;&gt;"",D135&gt;0.005),E135+H135+I135,"")</f>
        <v/>
      </c>
      <c r="K135" s="42" t="str">
        <f aca="false">IF(AND(A135&lt;&gt;"",D135&gt;0.005),ROUND(D135-G135-H135-I135,2),"")</f>
        <v/>
      </c>
      <c r="L135" s="41" t="str">
        <f aca="false">IF(AND(A135&lt;&gt;"",D135&gt;0.005),L134+F135,"")</f>
        <v/>
      </c>
      <c r="M135" s="41" t="str">
        <f aca="false">IF(AND(A135&lt;&gt;"",D135&gt;0.005),M134+G135+H135+I135,"")</f>
        <v/>
      </c>
      <c r="N135" s="43" t="str">
        <f aca="false">IF(B135="","",YEAR(B135))</f>
        <v/>
      </c>
      <c r="O135" s="44" t="n">
        <f aca="false">IF(AND(A135&lt;&gt;"",D135&gt;0.005),J135,0)</f>
        <v>0</v>
      </c>
      <c r="P135" s="44" t="n">
        <f aca="false">R134</f>
        <v>0</v>
      </c>
      <c r="Q135" s="44" t="n">
        <f aca="false">IF(AND(P135&gt;0.005,128&lt;=NPer),ROUND(P135*RP,2),0)</f>
        <v>0</v>
      </c>
      <c r="R135" s="44" t="n">
        <f aca="false">IF(AND(P135&gt;0.005,128&lt;=NPer),ROUND(P135-IF(128&lt;=Grace,0,IF(128=NPer,P135,IF(Method="Equal principal (reducing payments)",MIN(ROUND(EqPrin,2),P135),MIN(ROUND(Annuity-Q135,2),P135)))),2),0)</f>
        <v>0</v>
      </c>
    </row>
    <row r="136" customFormat="false" ht="15" hidden="false" customHeight="false" outlineLevel="0" collapsed="false">
      <c r="A136" s="38" t="str">
        <f aca="false">IF(AND(N(K135)&gt;0.005,A135&lt;NPer),A135+1,"")</f>
        <v/>
      </c>
      <c r="B136" s="39" t="str">
        <f aca="false">IF(A136="","",EDATE(Disb,A136*MPP))</f>
        <v/>
      </c>
      <c r="C136" s="40" t="str">
        <f aca="false">IF(A136="","",IF(A136&lt;=Grace,"Grace","Repayment"))</f>
        <v/>
      </c>
      <c r="D136" s="41" t="str">
        <f aca="false">IF(A136="","",K135)</f>
        <v/>
      </c>
      <c r="E136" s="41" t="str">
        <f aca="false">IF(AND(A136&lt;&gt;"",D136&gt;0.005),F136+G136,"")</f>
        <v/>
      </c>
      <c r="F136" s="41" t="str">
        <f aca="false">IF(AND(A136&lt;&gt;"",D136&gt;0.005),ROUND(D136*RP,2),"")</f>
        <v/>
      </c>
      <c r="G136" s="41" t="str">
        <f aca="false">IF(AND(A136&lt;&gt;"",D136&gt;0.005),IF(A136&lt;=Grace,0,IF(A136=NPer,D136,IF(Method="Equal principal (reducing payments)",MIN(ROUND(EqPrin,2),D136),MIN(ROUND(Annuity-F136,2),D136)))),"")</f>
        <v/>
      </c>
      <c r="H136" s="41" t="str">
        <f aca="false">IF(AND(A136&lt;&gt;"",D136&gt;0.005),IF(A136&lt;=Grace,0,MIN(Extra,D136-G136)),"")</f>
        <v/>
      </c>
      <c r="I136" s="41" t="str">
        <f aca="false">IF(AND(A136&lt;&gt;"",D136&gt;0.005),MIN(SUMIF(LumpN,A136,LumpAmt),D136-G136-H136),"")</f>
        <v/>
      </c>
      <c r="J136" s="42" t="str">
        <f aca="false">IF(AND(A136&lt;&gt;"",D136&gt;0.005),E136+H136+I136,"")</f>
        <v/>
      </c>
      <c r="K136" s="42" t="str">
        <f aca="false">IF(AND(A136&lt;&gt;"",D136&gt;0.005),ROUND(D136-G136-H136-I136,2),"")</f>
        <v/>
      </c>
      <c r="L136" s="41" t="str">
        <f aca="false">IF(AND(A136&lt;&gt;"",D136&gt;0.005),L135+F136,"")</f>
        <v/>
      </c>
      <c r="M136" s="41" t="str">
        <f aca="false">IF(AND(A136&lt;&gt;"",D136&gt;0.005),M135+G136+H136+I136,"")</f>
        <v/>
      </c>
      <c r="N136" s="43" t="str">
        <f aca="false">IF(B136="","",YEAR(B136))</f>
        <v/>
      </c>
      <c r="O136" s="44" t="n">
        <f aca="false">IF(AND(A136&lt;&gt;"",D136&gt;0.005),J136,0)</f>
        <v>0</v>
      </c>
      <c r="P136" s="44" t="n">
        <f aca="false">R135</f>
        <v>0</v>
      </c>
      <c r="Q136" s="44" t="n">
        <f aca="false">IF(AND(P136&gt;0.005,129&lt;=NPer),ROUND(P136*RP,2),0)</f>
        <v>0</v>
      </c>
      <c r="R136" s="44" t="n">
        <f aca="false">IF(AND(P136&gt;0.005,129&lt;=NPer),ROUND(P136-IF(129&lt;=Grace,0,IF(129=NPer,P136,IF(Method="Equal principal (reducing payments)",MIN(ROUND(EqPrin,2),P136),MIN(ROUND(Annuity-Q136,2),P136)))),2),0)</f>
        <v>0</v>
      </c>
    </row>
    <row r="137" customFormat="false" ht="15" hidden="false" customHeight="false" outlineLevel="0" collapsed="false">
      <c r="A137" s="38" t="str">
        <f aca="false">IF(AND(N(K136)&gt;0.005,A136&lt;NPer),A136+1,"")</f>
        <v/>
      </c>
      <c r="B137" s="39" t="str">
        <f aca="false">IF(A137="","",EDATE(Disb,A137*MPP))</f>
        <v/>
      </c>
      <c r="C137" s="40" t="str">
        <f aca="false">IF(A137="","",IF(A137&lt;=Grace,"Grace","Repayment"))</f>
        <v/>
      </c>
      <c r="D137" s="41" t="str">
        <f aca="false">IF(A137="","",K136)</f>
        <v/>
      </c>
      <c r="E137" s="41" t="str">
        <f aca="false">IF(AND(A137&lt;&gt;"",D137&gt;0.005),F137+G137,"")</f>
        <v/>
      </c>
      <c r="F137" s="41" t="str">
        <f aca="false">IF(AND(A137&lt;&gt;"",D137&gt;0.005),ROUND(D137*RP,2),"")</f>
        <v/>
      </c>
      <c r="G137" s="41" t="str">
        <f aca="false">IF(AND(A137&lt;&gt;"",D137&gt;0.005),IF(A137&lt;=Grace,0,IF(A137=NPer,D137,IF(Method="Equal principal (reducing payments)",MIN(ROUND(EqPrin,2),D137),MIN(ROUND(Annuity-F137,2),D137)))),"")</f>
        <v/>
      </c>
      <c r="H137" s="41" t="str">
        <f aca="false">IF(AND(A137&lt;&gt;"",D137&gt;0.005),IF(A137&lt;=Grace,0,MIN(Extra,D137-G137)),"")</f>
        <v/>
      </c>
      <c r="I137" s="41" t="str">
        <f aca="false">IF(AND(A137&lt;&gt;"",D137&gt;0.005),MIN(SUMIF(LumpN,A137,LumpAmt),D137-G137-H137),"")</f>
        <v/>
      </c>
      <c r="J137" s="42" t="str">
        <f aca="false">IF(AND(A137&lt;&gt;"",D137&gt;0.005),E137+H137+I137,"")</f>
        <v/>
      </c>
      <c r="K137" s="42" t="str">
        <f aca="false">IF(AND(A137&lt;&gt;"",D137&gt;0.005),ROUND(D137-G137-H137-I137,2),"")</f>
        <v/>
      </c>
      <c r="L137" s="41" t="str">
        <f aca="false">IF(AND(A137&lt;&gt;"",D137&gt;0.005),L136+F137,"")</f>
        <v/>
      </c>
      <c r="M137" s="41" t="str">
        <f aca="false">IF(AND(A137&lt;&gt;"",D137&gt;0.005),M136+G137+H137+I137,"")</f>
        <v/>
      </c>
      <c r="N137" s="43" t="str">
        <f aca="false">IF(B137="","",YEAR(B137))</f>
        <v/>
      </c>
      <c r="O137" s="44" t="n">
        <f aca="false">IF(AND(A137&lt;&gt;"",D137&gt;0.005),J137,0)</f>
        <v>0</v>
      </c>
      <c r="P137" s="44" t="n">
        <f aca="false">R136</f>
        <v>0</v>
      </c>
      <c r="Q137" s="44" t="n">
        <f aca="false">IF(AND(P137&gt;0.005,130&lt;=NPer),ROUND(P137*RP,2),0)</f>
        <v>0</v>
      </c>
      <c r="R137" s="44" t="n">
        <f aca="false">IF(AND(P137&gt;0.005,130&lt;=NPer),ROUND(P137-IF(130&lt;=Grace,0,IF(130=NPer,P137,IF(Method="Equal principal (reducing payments)",MIN(ROUND(EqPrin,2),P137),MIN(ROUND(Annuity-Q137,2),P137)))),2),0)</f>
        <v>0</v>
      </c>
    </row>
    <row r="138" customFormat="false" ht="15" hidden="false" customHeight="false" outlineLevel="0" collapsed="false">
      <c r="A138" s="38" t="str">
        <f aca="false">IF(AND(N(K137)&gt;0.005,A137&lt;NPer),A137+1,"")</f>
        <v/>
      </c>
      <c r="B138" s="39" t="str">
        <f aca="false">IF(A138="","",EDATE(Disb,A138*MPP))</f>
        <v/>
      </c>
      <c r="C138" s="40" t="str">
        <f aca="false">IF(A138="","",IF(A138&lt;=Grace,"Grace","Repayment"))</f>
        <v/>
      </c>
      <c r="D138" s="41" t="str">
        <f aca="false">IF(A138="","",K137)</f>
        <v/>
      </c>
      <c r="E138" s="41" t="str">
        <f aca="false">IF(AND(A138&lt;&gt;"",D138&gt;0.005),F138+G138,"")</f>
        <v/>
      </c>
      <c r="F138" s="41" t="str">
        <f aca="false">IF(AND(A138&lt;&gt;"",D138&gt;0.005),ROUND(D138*RP,2),"")</f>
        <v/>
      </c>
      <c r="G138" s="41" t="str">
        <f aca="false">IF(AND(A138&lt;&gt;"",D138&gt;0.005),IF(A138&lt;=Grace,0,IF(A138=NPer,D138,IF(Method="Equal principal (reducing payments)",MIN(ROUND(EqPrin,2),D138),MIN(ROUND(Annuity-F138,2),D138)))),"")</f>
        <v/>
      </c>
      <c r="H138" s="41" t="str">
        <f aca="false">IF(AND(A138&lt;&gt;"",D138&gt;0.005),IF(A138&lt;=Grace,0,MIN(Extra,D138-G138)),"")</f>
        <v/>
      </c>
      <c r="I138" s="41" t="str">
        <f aca="false">IF(AND(A138&lt;&gt;"",D138&gt;0.005),MIN(SUMIF(LumpN,A138,LumpAmt),D138-G138-H138),"")</f>
        <v/>
      </c>
      <c r="J138" s="42" t="str">
        <f aca="false">IF(AND(A138&lt;&gt;"",D138&gt;0.005),E138+H138+I138,"")</f>
        <v/>
      </c>
      <c r="K138" s="42" t="str">
        <f aca="false">IF(AND(A138&lt;&gt;"",D138&gt;0.005),ROUND(D138-G138-H138-I138,2),"")</f>
        <v/>
      </c>
      <c r="L138" s="41" t="str">
        <f aca="false">IF(AND(A138&lt;&gt;"",D138&gt;0.005),L137+F138,"")</f>
        <v/>
      </c>
      <c r="M138" s="41" t="str">
        <f aca="false">IF(AND(A138&lt;&gt;"",D138&gt;0.005),M137+G138+H138+I138,"")</f>
        <v/>
      </c>
      <c r="N138" s="43" t="str">
        <f aca="false">IF(B138="","",YEAR(B138))</f>
        <v/>
      </c>
      <c r="O138" s="44" t="n">
        <f aca="false">IF(AND(A138&lt;&gt;"",D138&gt;0.005),J138,0)</f>
        <v>0</v>
      </c>
      <c r="P138" s="44" t="n">
        <f aca="false">R137</f>
        <v>0</v>
      </c>
      <c r="Q138" s="44" t="n">
        <f aca="false">IF(AND(P138&gt;0.005,131&lt;=NPer),ROUND(P138*RP,2),0)</f>
        <v>0</v>
      </c>
      <c r="R138" s="44" t="n">
        <f aca="false">IF(AND(P138&gt;0.005,131&lt;=NPer),ROUND(P138-IF(131&lt;=Grace,0,IF(131=NPer,P138,IF(Method="Equal principal (reducing payments)",MIN(ROUND(EqPrin,2),P138),MIN(ROUND(Annuity-Q138,2),P138)))),2),0)</f>
        <v>0</v>
      </c>
    </row>
    <row r="139" customFormat="false" ht="15" hidden="false" customHeight="false" outlineLevel="0" collapsed="false">
      <c r="A139" s="38" t="str">
        <f aca="false">IF(AND(N(K138)&gt;0.005,A138&lt;NPer),A138+1,"")</f>
        <v/>
      </c>
      <c r="B139" s="39" t="str">
        <f aca="false">IF(A139="","",EDATE(Disb,A139*MPP))</f>
        <v/>
      </c>
      <c r="C139" s="40" t="str">
        <f aca="false">IF(A139="","",IF(A139&lt;=Grace,"Grace","Repayment"))</f>
        <v/>
      </c>
      <c r="D139" s="41" t="str">
        <f aca="false">IF(A139="","",K138)</f>
        <v/>
      </c>
      <c r="E139" s="41" t="str">
        <f aca="false">IF(AND(A139&lt;&gt;"",D139&gt;0.005),F139+G139,"")</f>
        <v/>
      </c>
      <c r="F139" s="41" t="str">
        <f aca="false">IF(AND(A139&lt;&gt;"",D139&gt;0.005),ROUND(D139*RP,2),"")</f>
        <v/>
      </c>
      <c r="G139" s="41" t="str">
        <f aca="false">IF(AND(A139&lt;&gt;"",D139&gt;0.005),IF(A139&lt;=Grace,0,IF(A139=NPer,D139,IF(Method="Equal principal (reducing payments)",MIN(ROUND(EqPrin,2),D139),MIN(ROUND(Annuity-F139,2),D139)))),"")</f>
        <v/>
      </c>
      <c r="H139" s="41" t="str">
        <f aca="false">IF(AND(A139&lt;&gt;"",D139&gt;0.005),IF(A139&lt;=Grace,0,MIN(Extra,D139-G139)),"")</f>
        <v/>
      </c>
      <c r="I139" s="41" t="str">
        <f aca="false">IF(AND(A139&lt;&gt;"",D139&gt;0.005),MIN(SUMIF(LumpN,A139,LumpAmt),D139-G139-H139),"")</f>
        <v/>
      </c>
      <c r="J139" s="42" t="str">
        <f aca="false">IF(AND(A139&lt;&gt;"",D139&gt;0.005),E139+H139+I139,"")</f>
        <v/>
      </c>
      <c r="K139" s="42" t="str">
        <f aca="false">IF(AND(A139&lt;&gt;"",D139&gt;0.005),ROUND(D139-G139-H139-I139,2),"")</f>
        <v/>
      </c>
      <c r="L139" s="41" t="str">
        <f aca="false">IF(AND(A139&lt;&gt;"",D139&gt;0.005),L138+F139,"")</f>
        <v/>
      </c>
      <c r="M139" s="41" t="str">
        <f aca="false">IF(AND(A139&lt;&gt;"",D139&gt;0.005),M138+G139+H139+I139,"")</f>
        <v/>
      </c>
      <c r="N139" s="43" t="str">
        <f aca="false">IF(B139="","",YEAR(B139))</f>
        <v/>
      </c>
      <c r="O139" s="44" t="n">
        <f aca="false">IF(AND(A139&lt;&gt;"",D139&gt;0.005),J139,0)</f>
        <v>0</v>
      </c>
      <c r="P139" s="44" t="n">
        <f aca="false">R138</f>
        <v>0</v>
      </c>
      <c r="Q139" s="44" t="n">
        <f aca="false">IF(AND(P139&gt;0.005,132&lt;=NPer),ROUND(P139*RP,2),0)</f>
        <v>0</v>
      </c>
      <c r="R139" s="44" t="n">
        <f aca="false">IF(AND(P139&gt;0.005,132&lt;=NPer),ROUND(P139-IF(132&lt;=Grace,0,IF(132=NPer,P139,IF(Method="Equal principal (reducing payments)",MIN(ROUND(EqPrin,2),P139),MIN(ROUND(Annuity-Q139,2),P139)))),2),0)</f>
        <v>0</v>
      </c>
    </row>
    <row r="140" customFormat="false" ht="15" hidden="false" customHeight="false" outlineLevel="0" collapsed="false">
      <c r="A140" s="38" t="str">
        <f aca="false">IF(AND(N(K139)&gt;0.005,A139&lt;NPer),A139+1,"")</f>
        <v/>
      </c>
      <c r="B140" s="39" t="str">
        <f aca="false">IF(A140="","",EDATE(Disb,A140*MPP))</f>
        <v/>
      </c>
      <c r="C140" s="40" t="str">
        <f aca="false">IF(A140="","",IF(A140&lt;=Grace,"Grace","Repayment"))</f>
        <v/>
      </c>
      <c r="D140" s="41" t="str">
        <f aca="false">IF(A140="","",K139)</f>
        <v/>
      </c>
      <c r="E140" s="41" t="str">
        <f aca="false">IF(AND(A140&lt;&gt;"",D140&gt;0.005),F140+G140,"")</f>
        <v/>
      </c>
      <c r="F140" s="41" t="str">
        <f aca="false">IF(AND(A140&lt;&gt;"",D140&gt;0.005),ROUND(D140*RP,2),"")</f>
        <v/>
      </c>
      <c r="G140" s="41" t="str">
        <f aca="false">IF(AND(A140&lt;&gt;"",D140&gt;0.005),IF(A140&lt;=Grace,0,IF(A140=NPer,D140,IF(Method="Equal principal (reducing payments)",MIN(ROUND(EqPrin,2),D140),MIN(ROUND(Annuity-F140,2),D140)))),"")</f>
        <v/>
      </c>
      <c r="H140" s="41" t="str">
        <f aca="false">IF(AND(A140&lt;&gt;"",D140&gt;0.005),IF(A140&lt;=Grace,0,MIN(Extra,D140-G140)),"")</f>
        <v/>
      </c>
      <c r="I140" s="41" t="str">
        <f aca="false">IF(AND(A140&lt;&gt;"",D140&gt;0.005),MIN(SUMIF(LumpN,A140,LumpAmt),D140-G140-H140),"")</f>
        <v/>
      </c>
      <c r="J140" s="42" t="str">
        <f aca="false">IF(AND(A140&lt;&gt;"",D140&gt;0.005),E140+H140+I140,"")</f>
        <v/>
      </c>
      <c r="K140" s="42" t="str">
        <f aca="false">IF(AND(A140&lt;&gt;"",D140&gt;0.005),ROUND(D140-G140-H140-I140,2),"")</f>
        <v/>
      </c>
      <c r="L140" s="41" t="str">
        <f aca="false">IF(AND(A140&lt;&gt;"",D140&gt;0.005),L139+F140,"")</f>
        <v/>
      </c>
      <c r="M140" s="41" t="str">
        <f aca="false">IF(AND(A140&lt;&gt;"",D140&gt;0.005),M139+G140+H140+I140,"")</f>
        <v/>
      </c>
      <c r="N140" s="43" t="str">
        <f aca="false">IF(B140="","",YEAR(B140))</f>
        <v/>
      </c>
      <c r="O140" s="44" t="n">
        <f aca="false">IF(AND(A140&lt;&gt;"",D140&gt;0.005),J140,0)</f>
        <v>0</v>
      </c>
      <c r="P140" s="44" t="n">
        <f aca="false">R139</f>
        <v>0</v>
      </c>
      <c r="Q140" s="44" t="n">
        <f aca="false">IF(AND(P140&gt;0.005,133&lt;=NPer),ROUND(P140*RP,2),0)</f>
        <v>0</v>
      </c>
      <c r="R140" s="44" t="n">
        <f aca="false">IF(AND(P140&gt;0.005,133&lt;=NPer),ROUND(P140-IF(133&lt;=Grace,0,IF(133=NPer,P140,IF(Method="Equal principal (reducing payments)",MIN(ROUND(EqPrin,2),P140),MIN(ROUND(Annuity-Q140,2),P140)))),2),0)</f>
        <v>0</v>
      </c>
    </row>
    <row r="141" customFormat="false" ht="15" hidden="false" customHeight="false" outlineLevel="0" collapsed="false">
      <c r="A141" s="38" t="str">
        <f aca="false">IF(AND(N(K140)&gt;0.005,A140&lt;NPer),A140+1,"")</f>
        <v/>
      </c>
      <c r="B141" s="39" t="str">
        <f aca="false">IF(A141="","",EDATE(Disb,A141*MPP))</f>
        <v/>
      </c>
      <c r="C141" s="40" t="str">
        <f aca="false">IF(A141="","",IF(A141&lt;=Grace,"Grace","Repayment"))</f>
        <v/>
      </c>
      <c r="D141" s="41" t="str">
        <f aca="false">IF(A141="","",K140)</f>
        <v/>
      </c>
      <c r="E141" s="41" t="str">
        <f aca="false">IF(AND(A141&lt;&gt;"",D141&gt;0.005),F141+G141,"")</f>
        <v/>
      </c>
      <c r="F141" s="41" t="str">
        <f aca="false">IF(AND(A141&lt;&gt;"",D141&gt;0.005),ROUND(D141*RP,2),"")</f>
        <v/>
      </c>
      <c r="G141" s="41" t="str">
        <f aca="false">IF(AND(A141&lt;&gt;"",D141&gt;0.005),IF(A141&lt;=Grace,0,IF(A141=NPer,D141,IF(Method="Equal principal (reducing payments)",MIN(ROUND(EqPrin,2),D141),MIN(ROUND(Annuity-F141,2),D141)))),"")</f>
        <v/>
      </c>
      <c r="H141" s="41" t="str">
        <f aca="false">IF(AND(A141&lt;&gt;"",D141&gt;0.005),IF(A141&lt;=Grace,0,MIN(Extra,D141-G141)),"")</f>
        <v/>
      </c>
      <c r="I141" s="41" t="str">
        <f aca="false">IF(AND(A141&lt;&gt;"",D141&gt;0.005),MIN(SUMIF(LumpN,A141,LumpAmt),D141-G141-H141),"")</f>
        <v/>
      </c>
      <c r="J141" s="42" t="str">
        <f aca="false">IF(AND(A141&lt;&gt;"",D141&gt;0.005),E141+H141+I141,"")</f>
        <v/>
      </c>
      <c r="K141" s="42" t="str">
        <f aca="false">IF(AND(A141&lt;&gt;"",D141&gt;0.005),ROUND(D141-G141-H141-I141,2),"")</f>
        <v/>
      </c>
      <c r="L141" s="41" t="str">
        <f aca="false">IF(AND(A141&lt;&gt;"",D141&gt;0.005),L140+F141,"")</f>
        <v/>
      </c>
      <c r="M141" s="41" t="str">
        <f aca="false">IF(AND(A141&lt;&gt;"",D141&gt;0.005),M140+G141+H141+I141,"")</f>
        <v/>
      </c>
      <c r="N141" s="43" t="str">
        <f aca="false">IF(B141="","",YEAR(B141))</f>
        <v/>
      </c>
      <c r="O141" s="44" t="n">
        <f aca="false">IF(AND(A141&lt;&gt;"",D141&gt;0.005),J141,0)</f>
        <v>0</v>
      </c>
      <c r="P141" s="44" t="n">
        <f aca="false">R140</f>
        <v>0</v>
      </c>
      <c r="Q141" s="44" t="n">
        <f aca="false">IF(AND(P141&gt;0.005,134&lt;=NPer),ROUND(P141*RP,2),0)</f>
        <v>0</v>
      </c>
      <c r="R141" s="44" t="n">
        <f aca="false">IF(AND(P141&gt;0.005,134&lt;=NPer),ROUND(P141-IF(134&lt;=Grace,0,IF(134=NPer,P141,IF(Method="Equal principal (reducing payments)",MIN(ROUND(EqPrin,2),P141),MIN(ROUND(Annuity-Q141,2),P141)))),2),0)</f>
        <v>0</v>
      </c>
    </row>
    <row r="142" customFormat="false" ht="15" hidden="false" customHeight="false" outlineLevel="0" collapsed="false">
      <c r="A142" s="38" t="str">
        <f aca="false">IF(AND(N(K141)&gt;0.005,A141&lt;NPer),A141+1,"")</f>
        <v/>
      </c>
      <c r="B142" s="39" t="str">
        <f aca="false">IF(A142="","",EDATE(Disb,A142*MPP))</f>
        <v/>
      </c>
      <c r="C142" s="40" t="str">
        <f aca="false">IF(A142="","",IF(A142&lt;=Grace,"Grace","Repayment"))</f>
        <v/>
      </c>
      <c r="D142" s="41" t="str">
        <f aca="false">IF(A142="","",K141)</f>
        <v/>
      </c>
      <c r="E142" s="41" t="str">
        <f aca="false">IF(AND(A142&lt;&gt;"",D142&gt;0.005),F142+G142,"")</f>
        <v/>
      </c>
      <c r="F142" s="41" t="str">
        <f aca="false">IF(AND(A142&lt;&gt;"",D142&gt;0.005),ROUND(D142*RP,2),"")</f>
        <v/>
      </c>
      <c r="G142" s="41" t="str">
        <f aca="false">IF(AND(A142&lt;&gt;"",D142&gt;0.005),IF(A142&lt;=Grace,0,IF(A142=NPer,D142,IF(Method="Equal principal (reducing payments)",MIN(ROUND(EqPrin,2),D142),MIN(ROUND(Annuity-F142,2),D142)))),"")</f>
        <v/>
      </c>
      <c r="H142" s="41" t="str">
        <f aca="false">IF(AND(A142&lt;&gt;"",D142&gt;0.005),IF(A142&lt;=Grace,0,MIN(Extra,D142-G142)),"")</f>
        <v/>
      </c>
      <c r="I142" s="41" t="str">
        <f aca="false">IF(AND(A142&lt;&gt;"",D142&gt;0.005),MIN(SUMIF(LumpN,A142,LumpAmt),D142-G142-H142),"")</f>
        <v/>
      </c>
      <c r="J142" s="42" t="str">
        <f aca="false">IF(AND(A142&lt;&gt;"",D142&gt;0.005),E142+H142+I142,"")</f>
        <v/>
      </c>
      <c r="K142" s="42" t="str">
        <f aca="false">IF(AND(A142&lt;&gt;"",D142&gt;0.005),ROUND(D142-G142-H142-I142,2),"")</f>
        <v/>
      </c>
      <c r="L142" s="41" t="str">
        <f aca="false">IF(AND(A142&lt;&gt;"",D142&gt;0.005),L141+F142,"")</f>
        <v/>
      </c>
      <c r="M142" s="41" t="str">
        <f aca="false">IF(AND(A142&lt;&gt;"",D142&gt;0.005),M141+G142+H142+I142,"")</f>
        <v/>
      </c>
      <c r="N142" s="43" t="str">
        <f aca="false">IF(B142="","",YEAR(B142))</f>
        <v/>
      </c>
      <c r="O142" s="44" t="n">
        <f aca="false">IF(AND(A142&lt;&gt;"",D142&gt;0.005),J142,0)</f>
        <v>0</v>
      </c>
      <c r="P142" s="44" t="n">
        <f aca="false">R141</f>
        <v>0</v>
      </c>
      <c r="Q142" s="44" t="n">
        <f aca="false">IF(AND(P142&gt;0.005,135&lt;=NPer),ROUND(P142*RP,2),0)</f>
        <v>0</v>
      </c>
      <c r="R142" s="44" t="n">
        <f aca="false">IF(AND(P142&gt;0.005,135&lt;=NPer),ROUND(P142-IF(135&lt;=Grace,0,IF(135=NPer,P142,IF(Method="Equal principal (reducing payments)",MIN(ROUND(EqPrin,2),P142),MIN(ROUND(Annuity-Q142,2),P142)))),2),0)</f>
        <v>0</v>
      </c>
    </row>
    <row r="143" customFormat="false" ht="15" hidden="false" customHeight="false" outlineLevel="0" collapsed="false">
      <c r="A143" s="38" t="str">
        <f aca="false">IF(AND(N(K142)&gt;0.005,A142&lt;NPer),A142+1,"")</f>
        <v/>
      </c>
      <c r="B143" s="39" t="str">
        <f aca="false">IF(A143="","",EDATE(Disb,A143*MPP))</f>
        <v/>
      </c>
      <c r="C143" s="40" t="str">
        <f aca="false">IF(A143="","",IF(A143&lt;=Grace,"Grace","Repayment"))</f>
        <v/>
      </c>
      <c r="D143" s="41" t="str">
        <f aca="false">IF(A143="","",K142)</f>
        <v/>
      </c>
      <c r="E143" s="41" t="str">
        <f aca="false">IF(AND(A143&lt;&gt;"",D143&gt;0.005),F143+G143,"")</f>
        <v/>
      </c>
      <c r="F143" s="41" t="str">
        <f aca="false">IF(AND(A143&lt;&gt;"",D143&gt;0.005),ROUND(D143*RP,2),"")</f>
        <v/>
      </c>
      <c r="G143" s="41" t="str">
        <f aca="false">IF(AND(A143&lt;&gt;"",D143&gt;0.005),IF(A143&lt;=Grace,0,IF(A143=NPer,D143,IF(Method="Equal principal (reducing payments)",MIN(ROUND(EqPrin,2),D143),MIN(ROUND(Annuity-F143,2),D143)))),"")</f>
        <v/>
      </c>
      <c r="H143" s="41" t="str">
        <f aca="false">IF(AND(A143&lt;&gt;"",D143&gt;0.005),IF(A143&lt;=Grace,0,MIN(Extra,D143-G143)),"")</f>
        <v/>
      </c>
      <c r="I143" s="41" t="str">
        <f aca="false">IF(AND(A143&lt;&gt;"",D143&gt;0.005),MIN(SUMIF(LumpN,A143,LumpAmt),D143-G143-H143),"")</f>
        <v/>
      </c>
      <c r="J143" s="42" t="str">
        <f aca="false">IF(AND(A143&lt;&gt;"",D143&gt;0.005),E143+H143+I143,"")</f>
        <v/>
      </c>
      <c r="K143" s="42" t="str">
        <f aca="false">IF(AND(A143&lt;&gt;"",D143&gt;0.005),ROUND(D143-G143-H143-I143,2),"")</f>
        <v/>
      </c>
      <c r="L143" s="41" t="str">
        <f aca="false">IF(AND(A143&lt;&gt;"",D143&gt;0.005),L142+F143,"")</f>
        <v/>
      </c>
      <c r="M143" s="41" t="str">
        <f aca="false">IF(AND(A143&lt;&gt;"",D143&gt;0.005),M142+G143+H143+I143,"")</f>
        <v/>
      </c>
      <c r="N143" s="43" t="str">
        <f aca="false">IF(B143="","",YEAR(B143))</f>
        <v/>
      </c>
      <c r="O143" s="44" t="n">
        <f aca="false">IF(AND(A143&lt;&gt;"",D143&gt;0.005),J143,0)</f>
        <v>0</v>
      </c>
      <c r="P143" s="44" t="n">
        <f aca="false">R142</f>
        <v>0</v>
      </c>
      <c r="Q143" s="44" t="n">
        <f aca="false">IF(AND(P143&gt;0.005,136&lt;=NPer),ROUND(P143*RP,2),0)</f>
        <v>0</v>
      </c>
      <c r="R143" s="44" t="n">
        <f aca="false">IF(AND(P143&gt;0.005,136&lt;=NPer),ROUND(P143-IF(136&lt;=Grace,0,IF(136=NPer,P143,IF(Method="Equal principal (reducing payments)",MIN(ROUND(EqPrin,2),P143),MIN(ROUND(Annuity-Q143,2),P143)))),2),0)</f>
        <v>0</v>
      </c>
    </row>
    <row r="144" customFormat="false" ht="15" hidden="false" customHeight="false" outlineLevel="0" collapsed="false">
      <c r="A144" s="38" t="str">
        <f aca="false">IF(AND(N(K143)&gt;0.005,A143&lt;NPer),A143+1,"")</f>
        <v/>
      </c>
      <c r="B144" s="39" t="str">
        <f aca="false">IF(A144="","",EDATE(Disb,A144*MPP))</f>
        <v/>
      </c>
      <c r="C144" s="40" t="str">
        <f aca="false">IF(A144="","",IF(A144&lt;=Grace,"Grace","Repayment"))</f>
        <v/>
      </c>
      <c r="D144" s="41" t="str">
        <f aca="false">IF(A144="","",K143)</f>
        <v/>
      </c>
      <c r="E144" s="41" t="str">
        <f aca="false">IF(AND(A144&lt;&gt;"",D144&gt;0.005),F144+G144,"")</f>
        <v/>
      </c>
      <c r="F144" s="41" t="str">
        <f aca="false">IF(AND(A144&lt;&gt;"",D144&gt;0.005),ROUND(D144*RP,2),"")</f>
        <v/>
      </c>
      <c r="G144" s="41" t="str">
        <f aca="false">IF(AND(A144&lt;&gt;"",D144&gt;0.005),IF(A144&lt;=Grace,0,IF(A144=NPer,D144,IF(Method="Equal principal (reducing payments)",MIN(ROUND(EqPrin,2),D144),MIN(ROUND(Annuity-F144,2),D144)))),"")</f>
        <v/>
      </c>
      <c r="H144" s="41" t="str">
        <f aca="false">IF(AND(A144&lt;&gt;"",D144&gt;0.005),IF(A144&lt;=Grace,0,MIN(Extra,D144-G144)),"")</f>
        <v/>
      </c>
      <c r="I144" s="41" t="str">
        <f aca="false">IF(AND(A144&lt;&gt;"",D144&gt;0.005),MIN(SUMIF(LumpN,A144,LumpAmt),D144-G144-H144),"")</f>
        <v/>
      </c>
      <c r="J144" s="42" t="str">
        <f aca="false">IF(AND(A144&lt;&gt;"",D144&gt;0.005),E144+H144+I144,"")</f>
        <v/>
      </c>
      <c r="K144" s="42" t="str">
        <f aca="false">IF(AND(A144&lt;&gt;"",D144&gt;0.005),ROUND(D144-G144-H144-I144,2),"")</f>
        <v/>
      </c>
      <c r="L144" s="41" t="str">
        <f aca="false">IF(AND(A144&lt;&gt;"",D144&gt;0.005),L143+F144,"")</f>
        <v/>
      </c>
      <c r="M144" s="41" t="str">
        <f aca="false">IF(AND(A144&lt;&gt;"",D144&gt;0.005),M143+G144+H144+I144,"")</f>
        <v/>
      </c>
      <c r="N144" s="43" t="str">
        <f aca="false">IF(B144="","",YEAR(B144))</f>
        <v/>
      </c>
      <c r="O144" s="44" t="n">
        <f aca="false">IF(AND(A144&lt;&gt;"",D144&gt;0.005),J144,0)</f>
        <v>0</v>
      </c>
      <c r="P144" s="44" t="n">
        <f aca="false">R143</f>
        <v>0</v>
      </c>
      <c r="Q144" s="44" t="n">
        <f aca="false">IF(AND(P144&gt;0.005,137&lt;=NPer),ROUND(P144*RP,2),0)</f>
        <v>0</v>
      </c>
      <c r="R144" s="44" t="n">
        <f aca="false">IF(AND(P144&gt;0.005,137&lt;=NPer),ROUND(P144-IF(137&lt;=Grace,0,IF(137=NPer,P144,IF(Method="Equal principal (reducing payments)",MIN(ROUND(EqPrin,2),P144),MIN(ROUND(Annuity-Q144,2),P144)))),2),0)</f>
        <v>0</v>
      </c>
    </row>
    <row r="145" customFormat="false" ht="15" hidden="false" customHeight="false" outlineLevel="0" collapsed="false">
      <c r="A145" s="38" t="str">
        <f aca="false">IF(AND(N(K144)&gt;0.005,A144&lt;NPer),A144+1,"")</f>
        <v/>
      </c>
      <c r="B145" s="39" t="str">
        <f aca="false">IF(A145="","",EDATE(Disb,A145*MPP))</f>
        <v/>
      </c>
      <c r="C145" s="40" t="str">
        <f aca="false">IF(A145="","",IF(A145&lt;=Grace,"Grace","Repayment"))</f>
        <v/>
      </c>
      <c r="D145" s="41" t="str">
        <f aca="false">IF(A145="","",K144)</f>
        <v/>
      </c>
      <c r="E145" s="41" t="str">
        <f aca="false">IF(AND(A145&lt;&gt;"",D145&gt;0.005),F145+G145,"")</f>
        <v/>
      </c>
      <c r="F145" s="41" t="str">
        <f aca="false">IF(AND(A145&lt;&gt;"",D145&gt;0.005),ROUND(D145*RP,2),"")</f>
        <v/>
      </c>
      <c r="G145" s="41" t="str">
        <f aca="false">IF(AND(A145&lt;&gt;"",D145&gt;0.005),IF(A145&lt;=Grace,0,IF(A145=NPer,D145,IF(Method="Equal principal (reducing payments)",MIN(ROUND(EqPrin,2),D145),MIN(ROUND(Annuity-F145,2),D145)))),"")</f>
        <v/>
      </c>
      <c r="H145" s="41" t="str">
        <f aca="false">IF(AND(A145&lt;&gt;"",D145&gt;0.005),IF(A145&lt;=Grace,0,MIN(Extra,D145-G145)),"")</f>
        <v/>
      </c>
      <c r="I145" s="41" t="str">
        <f aca="false">IF(AND(A145&lt;&gt;"",D145&gt;0.005),MIN(SUMIF(LumpN,A145,LumpAmt),D145-G145-H145),"")</f>
        <v/>
      </c>
      <c r="J145" s="42" t="str">
        <f aca="false">IF(AND(A145&lt;&gt;"",D145&gt;0.005),E145+H145+I145,"")</f>
        <v/>
      </c>
      <c r="K145" s="42" t="str">
        <f aca="false">IF(AND(A145&lt;&gt;"",D145&gt;0.005),ROUND(D145-G145-H145-I145,2),"")</f>
        <v/>
      </c>
      <c r="L145" s="41" t="str">
        <f aca="false">IF(AND(A145&lt;&gt;"",D145&gt;0.005),L144+F145,"")</f>
        <v/>
      </c>
      <c r="M145" s="41" t="str">
        <f aca="false">IF(AND(A145&lt;&gt;"",D145&gt;0.005),M144+G145+H145+I145,"")</f>
        <v/>
      </c>
      <c r="N145" s="43" t="str">
        <f aca="false">IF(B145="","",YEAR(B145))</f>
        <v/>
      </c>
      <c r="O145" s="44" t="n">
        <f aca="false">IF(AND(A145&lt;&gt;"",D145&gt;0.005),J145,0)</f>
        <v>0</v>
      </c>
      <c r="P145" s="44" t="n">
        <f aca="false">R144</f>
        <v>0</v>
      </c>
      <c r="Q145" s="44" t="n">
        <f aca="false">IF(AND(P145&gt;0.005,138&lt;=NPer),ROUND(P145*RP,2),0)</f>
        <v>0</v>
      </c>
      <c r="R145" s="44" t="n">
        <f aca="false">IF(AND(P145&gt;0.005,138&lt;=NPer),ROUND(P145-IF(138&lt;=Grace,0,IF(138=NPer,P145,IF(Method="Equal principal (reducing payments)",MIN(ROUND(EqPrin,2),P145),MIN(ROUND(Annuity-Q145,2),P145)))),2),0)</f>
        <v>0</v>
      </c>
    </row>
    <row r="146" customFormat="false" ht="15" hidden="false" customHeight="false" outlineLevel="0" collapsed="false">
      <c r="A146" s="38" t="str">
        <f aca="false">IF(AND(N(K145)&gt;0.005,A145&lt;NPer),A145+1,"")</f>
        <v/>
      </c>
      <c r="B146" s="39" t="str">
        <f aca="false">IF(A146="","",EDATE(Disb,A146*MPP))</f>
        <v/>
      </c>
      <c r="C146" s="40" t="str">
        <f aca="false">IF(A146="","",IF(A146&lt;=Grace,"Grace","Repayment"))</f>
        <v/>
      </c>
      <c r="D146" s="41" t="str">
        <f aca="false">IF(A146="","",K145)</f>
        <v/>
      </c>
      <c r="E146" s="41" t="str">
        <f aca="false">IF(AND(A146&lt;&gt;"",D146&gt;0.005),F146+G146,"")</f>
        <v/>
      </c>
      <c r="F146" s="41" t="str">
        <f aca="false">IF(AND(A146&lt;&gt;"",D146&gt;0.005),ROUND(D146*RP,2),"")</f>
        <v/>
      </c>
      <c r="G146" s="41" t="str">
        <f aca="false">IF(AND(A146&lt;&gt;"",D146&gt;0.005),IF(A146&lt;=Grace,0,IF(A146=NPer,D146,IF(Method="Equal principal (reducing payments)",MIN(ROUND(EqPrin,2),D146),MIN(ROUND(Annuity-F146,2),D146)))),"")</f>
        <v/>
      </c>
      <c r="H146" s="41" t="str">
        <f aca="false">IF(AND(A146&lt;&gt;"",D146&gt;0.005),IF(A146&lt;=Grace,0,MIN(Extra,D146-G146)),"")</f>
        <v/>
      </c>
      <c r="I146" s="41" t="str">
        <f aca="false">IF(AND(A146&lt;&gt;"",D146&gt;0.005),MIN(SUMIF(LumpN,A146,LumpAmt),D146-G146-H146),"")</f>
        <v/>
      </c>
      <c r="J146" s="42" t="str">
        <f aca="false">IF(AND(A146&lt;&gt;"",D146&gt;0.005),E146+H146+I146,"")</f>
        <v/>
      </c>
      <c r="K146" s="42" t="str">
        <f aca="false">IF(AND(A146&lt;&gt;"",D146&gt;0.005),ROUND(D146-G146-H146-I146,2),"")</f>
        <v/>
      </c>
      <c r="L146" s="41" t="str">
        <f aca="false">IF(AND(A146&lt;&gt;"",D146&gt;0.005),L145+F146,"")</f>
        <v/>
      </c>
      <c r="M146" s="41" t="str">
        <f aca="false">IF(AND(A146&lt;&gt;"",D146&gt;0.005),M145+G146+H146+I146,"")</f>
        <v/>
      </c>
      <c r="N146" s="43" t="str">
        <f aca="false">IF(B146="","",YEAR(B146))</f>
        <v/>
      </c>
      <c r="O146" s="44" t="n">
        <f aca="false">IF(AND(A146&lt;&gt;"",D146&gt;0.005),J146,0)</f>
        <v>0</v>
      </c>
      <c r="P146" s="44" t="n">
        <f aca="false">R145</f>
        <v>0</v>
      </c>
      <c r="Q146" s="44" t="n">
        <f aca="false">IF(AND(P146&gt;0.005,139&lt;=NPer),ROUND(P146*RP,2),0)</f>
        <v>0</v>
      </c>
      <c r="R146" s="44" t="n">
        <f aca="false">IF(AND(P146&gt;0.005,139&lt;=NPer),ROUND(P146-IF(139&lt;=Grace,0,IF(139=NPer,P146,IF(Method="Equal principal (reducing payments)",MIN(ROUND(EqPrin,2),P146),MIN(ROUND(Annuity-Q146,2),P146)))),2),0)</f>
        <v>0</v>
      </c>
    </row>
    <row r="147" customFormat="false" ht="15" hidden="false" customHeight="false" outlineLevel="0" collapsed="false">
      <c r="A147" s="38" t="str">
        <f aca="false">IF(AND(N(K146)&gt;0.005,A146&lt;NPer),A146+1,"")</f>
        <v/>
      </c>
      <c r="B147" s="39" t="str">
        <f aca="false">IF(A147="","",EDATE(Disb,A147*MPP))</f>
        <v/>
      </c>
      <c r="C147" s="40" t="str">
        <f aca="false">IF(A147="","",IF(A147&lt;=Grace,"Grace","Repayment"))</f>
        <v/>
      </c>
      <c r="D147" s="41" t="str">
        <f aca="false">IF(A147="","",K146)</f>
        <v/>
      </c>
      <c r="E147" s="41" t="str">
        <f aca="false">IF(AND(A147&lt;&gt;"",D147&gt;0.005),F147+G147,"")</f>
        <v/>
      </c>
      <c r="F147" s="41" t="str">
        <f aca="false">IF(AND(A147&lt;&gt;"",D147&gt;0.005),ROUND(D147*RP,2),"")</f>
        <v/>
      </c>
      <c r="G147" s="41" t="str">
        <f aca="false">IF(AND(A147&lt;&gt;"",D147&gt;0.005),IF(A147&lt;=Grace,0,IF(A147=NPer,D147,IF(Method="Equal principal (reducing payments)",MIN(ROUND(EqPrin,2),D147),MIN(ROUND(Annuity-F147,2),D147)))),"")</f>
        <v/>
      </c>
      <c r="H147" s="41" t="str">
        <f aca="false">IF(AND(A147&lt;&gt;"",D147&gt;0.005),IF(A147&lt;=Grace,0,MIN(Extra,D147-G147)),"")</f>
        <v/>
      </c>
      <c r="I147" s="41" t="str">
        <f aca="false">IF(AND(A147&lt;&gt;"",D147&gt;0.005),MIN(SUMIF(LumpN,A147,LumpAmt),D147-G147-H147),"")</f>
        <v/>
      </c>
      <c r="J147" s="42" t="str">
        <f aca="false">IF(AND(A147&lt;&gt;"",D147&gt;0.005),E147+H147+I147,"")</f>
        <v/>
      </c>
      <c r="K147" s="42" t="str">
        <f aca="false">IF(AND(A147&lt;&gt;"",D147&gt;0.005),ROUND(D147-G147-H147-I147,2),"")</f>
        <v/>
      </c>
      <c r="L147" s="41" t="str">
        <f aca="false">IF(AND(A147&lt;&gt;"",D147&gt;0.005),L146+F147,"")</f>
        <v/>
      </c>
      <c r="M147" s="41" t="str">
        <f aca="false">IF(AND(A147&lt;&gt;"",D147&gt;0.005),M146+G147+H147+I147,"")</f>
        <v/>
      </c>
      <c r="N147" s="43" t="str">
        <f aca="false">IF(B147="","",YEAR(B147))</f>
        <v/>
      </c>
      <c r="O147" s="44" t="n">
        <f aca="false">IF(AND(A147&lt;&gt;"",D147&gt;0.005),J147,0)</f>
        <v>0</v>
      </c>
      <c r="P147" s="44" t="n">
        <f aca="false">R146</f>
        <v>0</v>
      </c>
      <c r="Q147" s="44" t="n">
        <f aca="false">IF(AND(P147&gt;0.005,140&lt;=NPer),ROUND(P147*RP,2),0)</f>
        <v>0</v>
      </c>
      <c r="R147" s="44" t="n">
        <f aca="false">IF(AND(P147&gt;0.005,140&lt;=NPer),ROUND(P147-IF(140&lt;=Grace,0,IF(140=NPer,P147,IF(Method="Equal principal (reducing payments)",MIN(ROUND(EqPrin,2),P147),MIN(ROUND(Annuity-Q147,2),P147)))),2),0)</f>
        <v>0</v>
      </c>
    </row>
    <row r="148" customFormat="false" ht="15" hidden="false" customHeight="false" outlineLevel="0" collapsed="false">
      <c r="A148" s="38" t="str">
        <f aca="false">IF(AND(N(K147)&gt;0.005,A147&lt;NPer),A147+1,"")</f>
        <v/>
      </c>
      <c r="B148" s="39" t="str">
        <f aca="false">IF(A148="","",EDATE(Disb,A148*MPP))</f>
        <v/>
      </c>
      <c r="C148" s="40" t="str">
        <f aca="false">IF(A148="","",IF(A148&lt;=Grace,"Grace","Repayment"))</f>
        <v/>
      </c>
      <c r="D148" s="41" t="str">
        <f aca="false">IF(A148="","",K147)</f>
        <v/>
      </c>
      <c r="E148" s="41" t="str">
        <f aca="false">IF(AND(A148&lt;&gt;"",D148&gt;0.005),F148+G148,"")</f>
        <v/>
      </c>
      <c r="F148" s="41" t="str">
        <f aca="false">IF(AND(A148&lt;&gt;"",D148&gt;0.005),ROUND(D148*RP,2),"")</f>
        <v/>
      </c>
      <c r="G148" s="41" t="str">
        <f aca="false">IF(AND(A148&lt;&gt;"",D148&gt;0.005),IF(A148&lt;=Grace,0,IF(A148=NPer,D148,IF(Method="Equal principal (reducing payments)",MIN(ROUND(EqPrin,2),D148),MIN(ROUND(Annuity-F148,2),D148)))),"")</f>
        <v/>
      </c>
      <c r="H148" s="41" t="str">
        <f aca="false">IF(AND(A148&lt;&gt;"",D148&gt;0.005),IF(A148&lt;=Grace,0,MIN(Extra,D148-G148)),"")</f>
        <v/>
      </c>
      <c r="I148" s="41" t="str">
        <f aca="false">IF(AND(A148&lt;&gt;"",D148&gt;0.005),MIN(SUMIF(LumpN,A148,LumpAmt),D148-G148-H148),"")</f>
        <v/>
      </c>
      <c r="J148" s="42" t="str">
        <f aca="false">IF(AND(A148&lt;&gt;"",D148&gt;0.005),E148+H148+I148,"")</f>
        <v/>
      </c>
      <c r="K148" s="42" t="str">
        <f aca="false">IF(AND(A148&lt;&gt;"",D148&gt;0.005),ROUND(D148-G148-H148-I148,2),"")</f>
        <v/>
      </c>
      <c r="L148" s="41" t="str">
        <f aca="false">IF(AND(A148&lt;&gt;"",D148&gt;0.005),L147+F148,"")</f>
        <v/>
      </c>
      <c r="M148" s="41" t="str">
        <f aca="false">IF(AND(A148&lt;&gt;"",D148&gt;0.005),M147+G148+H148+I148,"")</f>
        <v/>
      </c>
      <c r="N148" s="43" t="str">
        <f aca="false">IF(B148="","",YEAR(B148))</f>
        <v/>
      </c>
      <c r="O148" s="44" t="n">
        <f aca="false">IF(AND(A148&lt;&gt;"",D148&gt;0.005),J148,0)</f>
        <v>0</v>
      </c>
      <c r="P148" s="44" t="n">
        <f aca="false">R147</f>
        <v>0</v>
      </c>
      <c r="Q148" s="44" t="n">
        <f aca="false">IF(AND(P148&gt;0.005,141&lt;=NPer),ROUND(P148*RP,2),0)</f>
        <v>0</v>
      </c>
      <c r="R148" s="44" t="n">
        <f aca="false">IF(AND(P148&gt;0.005,141&lt;=NPer),ROUND(P148-IF(141&lt;=Grace,0,IF(141=NPer,P148,IF(Method="Equal principal (reducing payments)",MIN(ROUND(EqPrin,2),P148),MIN(ROUND(Annuity-Q148,2),P148)))),2),0)</f>
        <v>0</v>
      </c>
    </row>
    <row r="149" customFormat="false" ht="15" hidden="false" customHeight="false" outlineLevel="0" collapsed="false">
      <c r="A149" s="38" t="str">
        <f aca="false">IF(AND(N(K148)&gt;0.005,A148&lt;NPer),A148+1,"")</f>
        <v/>
      </c>
      <c r="B149" s="39" t="str">
        <f aca="false">IF(A149="","",EDATE(Disb,A149*MPP))</f>
        <v/>
      </c>
      <c r="C149" s="40" t="str">
        <f aca="false">IF(A149="","",IF(A149&lt;=Grace,"Grace","Repayment"))</f>
        <v/>
      </c>
      <c r="D149" s="41" t="str">
        <f aca="false">IF(A149="","",K148)</f>
        <v/>
      </c>
      <c r="E149" s="41" t="str">
        <f aca="false">IF(AND(A149&lt;&gt;"",D149&gt;0.005),F149+G149,"")</f>
        <v/>
      </c>
      <c r="F149" s="41" t="str">
        <f aca="false">IF(AND(A149&lt;&gt;"",D149&gt;0.005),ROUND(D149*RP,2),"")</f>
        <v/>
      </c>
      <c r="G149" s="41" t="str">
        <f aca="false">IF(AND(A149&lt;&gt;"",D149&gt;0.005),IF(A149&lt;=Grace,0,IF(A149=NPer,D149,IF(Method="Equal principal (reducing payments)",MIN(ROUND(EqPrin,2),D149),MIN(ROUND(Annuity-F149,2),D149)))),"")</f>
        <v/>
      </c>
      <c r="H149" s="41" t="str">
        <f aca="false">IF(AND(A149&lt;&gt;"",D149&gt;0.005),IF(A149&lt;=Grace,0,MIN(Extra,D149-G149)),"")</f>
        <v/>
      </c>
      <c r="I149" s="41" t="str">
        <f aca="false">IF(AND(A149&lt;&gt;"",D149&gt;0.005),MIN(SUMIF(LumpN,A149,LumpAmt),D149-G149-H149),"")</f>
        <v/>
      </c>
      <c r="J149" s="42" t="str">
        <f aca="false">IF(AND(A149&lt;&gt;"",D149&gt;0.005),E149+H149+I149,"")</f>
        <v/>
      </c>
      <c r="K149" s="42" t="str">
        <f aca="false">IF(AND(A149&lt;&gt;"",D149&gt;0.005),ROUND(D149-G149-H149-I149,2),"")</f>
        <v/>
      </c>
      <c r="L149" s="41" t="str">
        <f aca="false">IF(AND(A149&lt;&gt;"",D149&gt;0.005),L148+F149,"")</f>
        <v/>
      </c>
      <c r="M149" s="41" t="str">
        <f aca="false">IF(AND(A149&lt;&gt;"",D149&gt;0.005),M148+G149+H149+I149,"")</f>
        <v/>
      </c>
      <c r="N149" s="43" t="str">
        <f aca="false">IF(B149="","",YEAR(B149))</f>
        <v/>
      </c>
      <c r="O149" s="44" t="n">
        <f aca="false">IF(AND(A149&lt;&gt;"",D149&gt;0.005),J149,0)</f>
        <v>0</v>
      </c>
      <c r="P149" s="44" t="n">
        <f aca="false">R148</f>
        <v>0</v>
      </c>
      <c r="Q149" s="44" t="n">
        <f aca="false">IF(AND(P149&gt;0.005,142&lt;=NPer),ROUND(P149*RP,2),0)</f>
        <v>0</v>
      </c>
      <c r="R149" s="44" t="n">
        <f aca="false">IF(AND(P149&gt;0.005,142&lt;=NPer),ROUND(P149-IF(142&lt;=Grace,0,IF(142=NPer,P149,IF(Method="Equal principal (reducing payments)",MIN(ROUND(EqPrin,2),P149),MIN(ROUND(Annuity-Q149,2),P149)))),2),0)</f>
        <v>0</v>
      </c>
    </row>
    <row r="150" customFormat="false" ht="15" hidden="false" customHeight="false" outlineLevel="0" collapsed="false">
      <c r="A150" s="38" t="str">
        <f aca="false">IF(AND(N(K149)&gt;0.005,A149&lt;NPer),A149+1,"")</f>
        <v/>
      </c>
      <c r="B150" s="39" t="str">
        <f aca="false">IF(A150="","",EDATE(Disb,A150*MPP))</f>
        <v/>
      </c>
      <c r="C150" s="40" t="str">
        <f aca="false">IF(A150="","",IF(A150&lt;=Grace,"Grace","Repayment"))</f>
        <v/>
      </c>
      <c r="D150" s="41" t="str">
        <f aca="false">IF(A150="","",K149)</f>
        <v/>
      </c>
      <c r="E150" s="41" t="str">
        <f aca="false">IF(AND(A150&lt;&gt;"",D150&gt;0.005),F150+G150,"")</f>
        <v/>
      </c>
      <c r="F150" s="41" t="str">
        <f aca="false">IF(AND(A150&lt;&gt;"",D150&gt;0.005),ROUND(D150*RP,2),"")</f>
        <v/>
      </c>
      <c r="G150" s="41" t="str">
        <f aca="false">IF(AND(A150&lt;&gt;"",D150&gt;0.005),IF(A150&lt;=Grace,0,IF(A150=NPer,D150,IF(Method="Equal principal (reducing payments)",MIN(ROUND(EqPrin,2),D150),MIN(ROUND(Annuity-F150,2),D150)))),"")</f>
        <v/>
      </c>
      <c r="H150" s="41" t="str">
        <f aca="false">IF(AND(A150&lt;&gt;"",D150&gt;0.005),IF(A150&lt;=Grace,0,MIN(Extra,D150-G150)),"")</f>
        <v/>
      </c>
      <c r="I150" s="41" t="str">
        <f aca="false">IF(AND(A150&lt;&gt;"",D150&gt;0.005),MIN(SUMIF(LumpN,A150,LumpAmt),D150-G150-H150),"")</f>
        <v/>
      </c>
      <c r="J150" s="42" t="str">
        <f aca="false">IF(AND(A150&lt;&gt;"",D150&gt;0.005),E150+H150+I150,"")</f>
        <v/>
      </c>
      <c r="K150" s="42" t="str">
        <f aca="false">IF(AND(A150&lt;&gt;"",D150&gt;0.005),ROUND(D150-G150-H150-I150,2),"")</f>
        <v/>
      </c>
      <c r="L150" s="41" t="str">
        <f aca="false">IF(AND(A150&lt;&gt;"",D150&gt;0.005),L149+F150,"")</f>
        <v/>
      </c>
      <c r="M150" s="41" t="str">
        <f aca="false">IF(AND(A150&lt;&gt;"",D150&gt;0.005),M149+G150+H150+I150,"")</f>
        <v/>
      </c>
      <c r="N150" s="43" t="str">
        <f aca="false">IF(B150="","",YEAR(B150))</f>
        <v/>
      </c>
      <c r="O150" s="44" t="n">
        <f aca="false">IF(AND(A150&lt;&gt;"",D150&gt;0.005),J150,0)</f>
        <v>0</v>
      </c>
      <c r="P150" s="44" t="n">
        <f aca="false">R149</f>
        <v>0</v>
      </c>
      <c r="Q150" s="44" t="n">
        <f aca="false">IF(AND(P150&gt;0.005,143&lt;=NPer),ROUND(P150*RP,2),0)</f>
        <v>0</v>
      </c>
      <c r="R150" s="44" t="n">
        <f aca="false">IF(AND(P150&gt;0.005,143&lt;=NPer),ROUND(P150-IF(143&lt;=Grace,0,IF(143=NPer,P150,IF(Method="Equal principal (reducing payments)",MIN(ROUND(EqPrin,2),P150),MIN(ROUND(Annuity-Q150,2),P150)))),2),0)</f>
        <v>0</v>
      </c>
    </row>
    <row r="151" customFormat="false" ht="15" hidden="false" customHeight="false" outlineLevel="0" collapsed="false">
      <c r="A151" s="38" t="str">
        <f aca="false">IF(AND(N(K150)&gt;0.005,A150&lt;NPer),A150+1,"")</f>
        <v/>
      </c>
      <c r="B151" s="39" t="str">
        <f aca="false">IF(A151="","",EDATE(Disb,A151*MPP))</f>
        <v/>
      </c>
      <c r="C151" s="40" t="str">
        <f aca="false">IF(A151="","",IF(A151&lt;=Grace,"Grace","Repayment"))</f>
        <v/>
      </c>
      <c r="D151" s="41" t="str">
        <f aca="false">IF(A151="","",K150)</f>
        <v/>
      </c>
      <c r="E151" s="41" t="str">
        <f aca="false">IF(AND(A151&lt;&gt;"",D151&gt;0.005),F151+G151,"")</f>
        <v/>
      </c>
      <c r="F151" s="41" t="str">
        <f aca="false">IF(AND(A151&lt;&gt;"",D151&gt;0.005),ROUND(D151*RP,2),"")</f>
        <v/>
      </c>
      <c r="G151" s="41" t="str">
        <f aca="false">IF(AND(A151&lt;&gt;"",D151&gt;0.005),IF(A151&lt;=Grace,0,IF(A151=NPer,D151,IF(Method="Equal principal (reducing payments)",MIN(ROUND(EqPrin,2),D151),MIN(ROUND(Annuity-F151,2),D151)))),"")</f>
        <v/>
      </c>
      <c r="H151" s="41" t="str">
        <f aca="false">IF(AND(A151&lt;&gt;"",D151&gt;0.005),IF(A151&lt;=Grace,0,MIN(Extra,D151-G151)),"")</f>
        <v/>
      </c>
      <c r="I151" s="41" t="str">
        <f aca="false">IF(AND(A151&lt;&gt;"",D151&gt;0.005),MIN(SUMIF(LumpN,A151,LumpAmt),D151-G151-H151),"")</f>
        <v/>
      </c>
      <c r="J151" s="42" t="str">
        <f aca="false">IF(AND(A151&lt;&gt;"",D151&gt;0.005),E151+H151+I151,"")</f>
        <v/>
      </c>
      <c r="K151" s="42" t="str">
        <f aca="false">IF(AND(A151&lt;&gt;"",D151&gt;0.005),ROUND(D151-G151-H151-I151,2),"")</f>
        <v/>
      </c>
      <c r="L151" s="41" t="str">
        <f aca="false">IF(AND(A151&lt;&gt;"",D151&gt;0.005),L150+F151,"")</f>
        <v/>
      </c>
      <c r="M151" s="41" t="str">
        <f aca="false">IF(AND(A151&lt;&gt;"",D151&gt;0.005),M150+G151+H151+I151,"")</f>
        <v/>
      </c>
      <c r="N151" s="43" t="str">
        <f aca="false">IF(B151="","",YEAR(B151))</f>
        <v/>
      </c>
      <c r="O151" s="44" t="n">
        <f aca="false">IF(AND(A151&lt;&gt;"",D151&gt;0.005),J151,0)</f>
        <v>0</v>
      </c>
      <c r="P151" s="44" t="n">
        <f aca="false">R150</f>
        <v>0</v>
      </c>
      <c r="Q151" s="44" t="n">
        <f aca="false">IF(AND(P151&gt;0.005,144&lt;=NPer),ROUND(P151*RP,2),0)</f>
        <v>0</v>
      </c>
      <c r="R151" s="44" t="n">
        <f aca="false">IF(AND(P151&gt;0.005,144&lt;=NPer),ROUND(P151-IF(144&lt;=Grace,0,IF(144=NPer,P151,IF(Method="Equal principal (reducing payments)",MIN(ROUND(EqPrin,2),P151),MIN(ROUND(Annuity-Q151,2),P151)))),2),0)</f>
        <v>0</v>
      </c>
    </row>
    <row r="152" customFormat="false" ht="15" hidden="false" customHeight="false" outlineLevel="0" collapsed="false">
      <c r="A152" s="38" t="str">
        <f aca="false">IF(AND(N(K151)&gt;0.005,A151&lt;NPer),A151+1,"")</f>
        <v/>
      </c>
      <c r="B152" s="39" t="str">
        <f aca="false">IF(A152="","",EDATE(Disb,A152*MPP))</f>
        <v/>
      </c>
      <c r="C152" s="40" t="str">
        <f aca="false">IF(A152="","",IF(A152&lt;=Grace,"Grace","Repayment"))</f>
        <v/>
      </c>
      <c r="D152" s="41" t="str">
        <f aca="false">IF(A152="","",K151)</f>
        <v/>
      </c>
      <c r="E152" s="41" t="str">
        <f aca="false">IF(AND(A152&lt;&gt;"",D152&gt;0.005),F152+G152,"")</f>
        <v/>
      </c>
      <c r="F152" s="41" t="str">
        <f aca="false">IF(AND(A152&lt;&gt;"",D152&gt;0.005),ROUND(D152*RP,2),"")</f>
        <v/>
      </c>
      <c r="G152" s="41" t="str">
        <f aca="false">IF(AND(A152&lt;&gt;"",D152&gt;0.005),IF(A152&lt;=Grace,0,IF(A152=NPer,D152,IF(Method="Equal principal (reducing payments)",MIN(ROUND(EqPrin,2),D152),MIN(ROUND(Annuity-F152,2),D152)))),"")</f>
        <v/>
      </c>
      <c r="H152" s="41" t="str">
        <f aca="false">IF(AND(A152&lt;&gt;"",D152&gt;0.005),IF(A152&lt;=Grace,0,MIN(Extra,D152-G152)),"")</f>
        <v/>
      </c>
      <c r="I152" s="41" t="str">
        <f aca="false">IF(AND(A152&lt;&gt;"",D152&gt;0.005),MIN(SUMIF(LumpN,A152,LumpAmt),D152-G152-H152),"")</f>
        <v/>
      </c>
      <c r="J152" s="42" t="str">
        <f aca="false">IF(AND(A152&lt;&gt;"",D152&gt;0.005),E152+H152+I152,"")</f>
        <v/>
      </c>
      <c r="K152" s="42" t="str">
        <f aca="false">IF(AND(A152&lt;&gt;"",D152&gt;0.005),ROUND(D152-G152-H152-I152,2),"")</f>
        <v/>
      </c>
      <c r="L152" s="41" t="str">
        <f aca="false">IF(AND(A152&lt;&gt;"",D152&gt;0.005),L151+F152,"")</f>
        <v/>
      </c>
      <c r="M152" s="41" t="str">
        <f aca="false">IF(AND(A152&lt;&gt;"",D152&gt;0.005),M151+G152+H152+I152,"")</f>
        <v/>
      </c>
      <c r="N152" s="43" t="str">
        <f aca="false">IF(B152="","",YEAR(B152))</f>
        <v/>
      </c>
      <c r="O152" s="44" t="n">
        <f aca="false">IF(AND(A152&lt;&gt;"",D152&gt;0.005),J152,0)</f>
        <v>0</v>
      </c>
      <c r="P152" s="44" t="n">
        <f aca="false">R151</f>
        <v>0</v>
      </c>
      <c r="Q152" s="44" t="n">
        <f aca="false">IF(AND(P152&gt;0.005,145&lt;=NPer),ROUND(P152*RP,2),0)</f>
        <v>0</v>
      </c>
      <c r="R152" s="44" t="n">
        <f aca="false">IF(AND(P152&gt;0.005,145&lt;=NPer),ROUND(P152-IF(145&lt;=Grace,0,IF(145=NPer,P152,IF(Method="Equal principal (reducing payments)",MIN(ROUND(EqPrin,2),P152),MIN(ROUND(Annuity-Q152,2),P152)))),2),0)</f>
        <v>0</v>
      </c>
    </row>
    <row r="153" customFormat="false" ht="15" hidden="false" customHeight="false" outlineLevel="0" collapsed="false">
      <c r="A153" s="38" t="str">
        <f aca="false">IF(AND(N(K152)&gt;0.005,A152&lt;NPer),A152+1,"")</f>
        <v/>
      </c>
      <c r="B153" s="39" t="str">
        <f aca="false">IF(A153="","",EDATE(Disb,A153*MPP))</f>
        <v/>
      </c>
      <c r="C153" s="40" t="str">
        <f aca="false">IF(A153="","",IF(A153&lt;=Grace,"Grace","Repayment"))</f>
        <v/>
      </c>
      <c r="D153" s="41" t="str">
        <f aca="false">IF(A153="","",K152)</f>
        <v/>
      </c>
      <c r="E153" s="41" t="str">
        <f aca="false">IF(AND(A153&lt;&gt;"",D153&gt;0.005),F153+G153,"")</f>
        <v/>
      </c>
      <c r="F153" s="41" t="str">
        <f aca="false">IF(AND(A153&lt;&gt;"",D153&gt;0.005),ROUND(D153*RP,2),"")</f>
        <v/>
      </c>
      <c r="G153" s="41" t="str">
        <f aca="false">IF(AND(A153&lt;&gt;"",D153&gt;0.005),IF(A153&lt;=Grace,0,IF(A153=NPer,D153,IF(Method="Equal principal (reducing payments)",MIN(ROUND(EqPrin,2),D153),MIN(ROUND(Annuity-F153,2),D153)))),"")</f>
        <v/>
      </c>
      <c r="H153" s="41" t="str">
        <f aca="false">IF(AND(A153&lt;&gt;"",D153&gt;0.005),IF(A153&lt;=Grace,0,MIN(Extra,D153-G153)),"")</f>
        <v/>
      </c>
      <c r="I153" s="41" t="str">
        <f aca="false">IF(AND(A153&lt;&gt;"",D153&gt;0.005),MIN(SUMIF(LumpN,A153,LumpAmt),D153-G153-H153),"")</f>
        <v/>
      </c>
      <c r="J153" s="42" t="str">
        <f aca="false">IF(AND(A153&lt;&gt;"",D153&gt;0.005),E153+H153+I153,"")</f>
        <v/>
      </c>
      <c r="K153" s="42" t="str">
        <f aca="false">IF(AND(A153&lt;&gt;"",D153&gt;0.005),ROUND(D153-G153-H153-I153,2),"")</f>
        <v/>
      </c>
      <c r="L153" s="41" t="str">
        <f aca="false">IF(AND(A153&lt;&gt;"",D153&gt;0.005),L152+F153,"")</f>
        <v/>
      </c>
      <c r="M153" s="41" t="str">
        <f aca="false">IF(AND(A153&lt;&gt;"",D153&gt;0.005),M152+G153+H153+I153,"")</f>
        <v/>
      </c>
      <c r="N153" s="43" t="str">
        <f aca="false">IF(B153="","",YEAR(B153))</f>
        <v/>
      </c>
      <c r="O153" s="44" t="n">
        <f aca="false">IF(AND(A153&lt;&gt;"",D153&gt;0.005),J153,0)</f>
        <v>0</v>
      </c>
      <c r="P153" s="44" t="n">
        <f aca="false">R152</f>
        <v>0</v>
      </c>
      <c r="Q153" s="44" t="n">
        <f aca="false">IF(AND(P153&gt;0.005,146&lt;=NPer),ROUND(P153*RP,2),0)</f>
        <v>0</v>
      </c>
      <c r="R153" s="44" t="n">
        <f aca="false">IF(AND(P153&gt;0.005,146&lt;=NPer),ROUND(P153-IF(146&lt;=Grace,0,IF(146=NPer,P153,IF(Method="Equal principal (reducing payments)",MIN(ROUND(EqPrin,2),P153),MIN(ROUND(Annuity-Q153,2),P153)))),2),0)</f>
        <v>0</v>
      </c>
    </row>
    <row r="154" customFormat="false" ht="15" hidden="false" customHeight="false" outlineLevel="0" collapsed="false">
      <c r="A154" s="38" t="str">
        <f aca="false">IF(AND(N(K153)&gt;0.005,A153&lt;NPer),A153+1,"")</f>
        <v/>
      </c>
      <c r="B154" s="39" t="str">
        <f aca="false">IF(A154="","",EDATE(Disb,A154*MPP))</f>
        <v/>
      </c>
      <c r="C154" s="40" t="str">
        <f aca="false">IF(A154="","",IF(A154&lt;=Grace,"Grace","Repayment"))</f>
        <v/>
      </c>
      <c r="D154" s="41" t="str">
        <f aca="false">IF(A154="","",K153)</f>
        <v/>
      </c>
      <c r="E154" s="41" t="str">
        <f aca="false">IF(AND(A154&lt;&gt;"",D154&gt;0.005),F154+G154,"")</f>
        <v/>
      </c>
      <c r="F154" s="41" t="str">
        <f aca="false">IF(AND(A154&lt;&gt;"",D154&gt;0.005),ROUND(D154*RP,2),"")</f>
        <v/>
      </c>
      <c r="G154" s="41" t="str">
        <f aca="false">IF(AND(A154&lt;&gt;"",D154&gt;0.005),IF(A154&lt;=Grace,0,IF(A154=NPer,D154,IF(Method="Equal principal (reducing payments)",MIN(ROUND(EqPrin,2),D154),MIN(ROUND(Annuity-F154,2),D154)))),"")</f>
        <v/>
      </c>
      <c r="H154" s="41" t="str">
        <f aca="false">IF(AND(A154&lt;&gt;"",D154&gt;0.005),IF(A154&lt;=Grace,0,MIN(Extra,D154-G154)),"")</f>
        <v/>
      </c>
      <c r="I154" s="41" t="str">
        <f aca="false">IF(AND(A154&lt;&gt;"",D154&gt;0.005),MIN(SUMIF(LumpN,A154,LumpAmt),D154-G154-H154),"")</f>
        <v/>
      </c>
      <c r="J154" s="42" t="str">
        <f aca="false">IF(AND(A154&lt;&gt;"",D154&gt;0.005),E154+H154+I154,"")</f>
        <v/>
      </c>
      <c r="K154" s="42" t="str">
        <f aca="false">IF(AND(A154&lt;&gt;"",D154&gt;0.005),ROUND(D154-G154-H154-I154,2),"")</f>
        <v/>
      </c>
      <c r="L154" s="41" t="str">
        <f aca="false">IF(AND(A154&lt;&gt;"",D154&gt;0.005),L153+F154,"")</f>
        <v/>
      </c>
      <c r="M154" s="41" t="str">
        <f aca="false">IF(AND(A154&lt;&gt;"",D154&gt;0.005),M153+G154+H154+I154,"")</f>
        <v/>
      </c>
      <c r="N154" s="43" t="str">
        <f aca="false">IF(B154="","",YEAR(B154))</f>
        <v/>
      </c>
      <c r="O154" s="44" t="n">
        <f aca="false">IF(AND(A154&lt;&gt;"",D154&gt;0.005),J154,0)</f>
        <v>0</v>
      </c>
      <c r="P154" s="44" t="n">
        <f aca="false">R153</f>
        <v>0</v>
      </c>
      <c r="Q154" s="44" t="n">
        <f aca="false">IF(AND(P154&gt;0.005,147&lt;=NPer),ROUND(P154*RP,2),0)</f>
        <v>0</v>
      </c>
      <c r="R154" s="44" t="n">
        <f aca="false">IF(AND(P154&gt;0.005,147&lt;=NPer),ROUND(P154-IF(147&lt;=Grace,0,IF(147=NPer,P154,IF(Method="Equal principal (reducing payments)",MIN(ROUND(EqPrin,2),P154),MIN(ROUND(Annuity-Q154,2),P154)))),2),0)</f>
        <v>0</v>
      </c>
    </row>
    <row r="155" customFormat="false" ht="15" hidden="false" customHeight="false" outlineLevel="0" collapsed="false">
      <c r="A155" s="38" t="str">
        <f aca="false">IF(AND(N(K154)&gt;0.005,A154&lt;NPer),A154+1,"")</f>
        <v/>
      </c>
      <c r="B155" s="39" t="str">
        <f aca="false">IF(A155="","",EDATE(Disb,A155*MPP))</f>
        <v/>
      </c>
      <c r="C155" s="40" t="str">
        <f aca="false">IF(A155="","",IF(A155&lt;=Grace,"Grace","Repayment"))</f>
        <v/>
      </c>
      <c r="D155" s="41" t="str">
        <f aca="false">IF(A155="","",K154)</f>
        <v/>
      </c>
      <c r="E155" s="41" t="str">
        <f aca="false">IF(AND(A155&lt;&gt;"",D155&gt;0.005),F155+G155,"")</f>
        <v/>
      </c>
      <c r="F155" s="41" t="str">
        <f aca="false">IF(AND(A155&lt;&gt;"",D155&gt;0.005),ROUND(D155*RP,2),"")</f>
        <v/>
      </c>
      <c r="G155" s="41" t="str">
        <f aca="false">IF(AND(A155&lt;&gt;"",D155&gt;0.005),IF(A155&lt;=Grace,0,IF(A155=NPer,D155,IF(Method="Equal principal (reducing payments)",MIN(ROUND(EqPrin,2),D155),MIN(ROUND(Annuity-F155,2),D155)))),"")</f>
        <v/>
      </c>
      <c r="H155" s="41" t="str">
        <f aca="false">IF(AND(A155&lt;&gt;"",D155&gt;0.005),IF(A155&lt;=Grace,0,MIN(Extra,D155-G155)),"")</f>
        <v/>
      </c>
      <c r="I155" s="41" t="str">
        <f aca="false">IF(AND(A155&lt;&gt;"",D155&gt;0.005),MIN(SUMIF(LumpN,A155,LumpAmt),D155-G155-H155),"")</f>
        <v/>
      </c>
      <c r="J155" s="42" t="str">
        <f aca="false">IF(AND(A155&lt;&gt;"",D155&gt;0.005),E155+H155+I155,"")</f>
        <v/>
      </c>
      <c r="K155" s="42" t="str">
        <f aca="false">IF(AND(A155&lt;&gt;"",D155&gt;0.005),ROUND(D155-G155-H155-I155,2),"")</f>
        <v/>
      </c>
      <c r="L155" s="41" t="str">
        <f aca="false">IF(AND(A155&lt;&gt;"",D155&gt;0.005),L154+F155,"")</f>
        <v/>
      </c>
      <c r="M155" s="41" t="str">
        <f aca="false">IF(AND(A155&lt;&gt;"",D155&gt;0.005),M154+G155+H155+I155,"")</f>
        <v/>
      </c>
      <c r="N155" s="43" t="str">
        <f aca="false">IF(B155="","",YEAR(B155))</f>
        <v/>
      </c>
      <c r="O155" s="44" t="n">
        <f aca="false">IF(AND(A155&lt;&gt;"",D155&gt;0.005),J155,0)</f>
        <v>0</v>
      </c>
      <c r="P155" s="44" t="n">
        <f aca="false">R154</f>
        <v>0</v>
      </c>
      <c r="Q155" s="44" t="n">
        <f aca="false">IF(AND(P155&gt;0.005,148&lt;=NPer),ROUND(P155*RP,2),0)</f>
        <v>0</v>
      </c>
      <c r="R155" s="44" t="n">
        <f aca="false">IF(AND(P155&gt;0.005,148&lt;=NPer),ROUND(P155-IF(148&lt;=Grace,0,IF(148=NPer,P155,IF(Method="Equal principal (reducing payments)",MIN(ROUND(EqPrin,2),P155),MIN(ROUND(Annuity-Q155,2),P155)))),2),0)</f>
        <v>0</v>
      </c>
    </row>
    <row r="156" customFormat="false" ht="15" hidden="false" customHeight="false" outlineLevel="0" collapsed="false">
      <c r="A156" s="38" t="str">
        <f aca="false">IF(AND(N(K155)&gt;0.005,A155&lt;NPer),A155+1,"")</f>
        <v/>
      </c>
      <c r="B156" s="39" t="str">
        <f aca="false">IF(A156="","",EDATE(Disb,A156*MPP))</f>
        <v/>
      </c>
      <c r="C156" s="40" t="str">
        <f aca="false">IF(A156="","",IF(A156&lt;=Grace,"Grace","Repayment"))</f>
        <v/>
      </c>
      <c r="D156" s="41" t="str">
        <f aca="false">IF(A156="","",K155)</f>
        <v/>
      </c>
      <c r="E156" s="41" t="str">
        <f aca="false">IF(AND(A156&lt;&gt;"",D156&gt;0.005),F156+G156,"")</f>
        <v/>
      </c>
      <c r="F156" s="41" t="str">
        <f aca="false">IF(AND(A156&lt;&gt;"",D156&gt;0.005),ROUND(D156*RP,2),"")</f>
        <v/>
      </c>
      <c r="G156" s="41" t="str">
        <f aca="false">IF(AND(A156&lt;&gt;"",D156&gt;0.005),IF(A156&lt;=Grace,0,IF(A156=NPer,D156,IF(Method="Equal principal (reducing payments)",MIN(ROUND(EqPrin,2),D156),MIN(ROUND(Annuity-F156,2),D156)))),"")</f>
        <v/>
      </c>
      <c r="H156" s="41" t="str">
        <f aca="false">IF(AND(A156&lt;&gt;"",D156&gt;0.005),IF(A156&lt;=Grace,0,MIN(Extra,D156-G156)),"")</f>
        <v/>
      </c>
      <c r="I156" s="41" t="str">
        <f aca="false">IF(AND(A156&lt;&gt;"",D156&gt;0.005),MIN(SUMIF(LumpN,A156,LumpAmt),D156-G156-H156),"")</f>
        <v/>
      </c>
      <c r="J156" s="42" t="str">
        <f aca="false">IF(AND(A156&lt;&gt;"",D156&gt;0.005),E156+H156+I156,"")</f>
        <v/>
      </c>
      <c r="K156" s="42" t="str">
        <f aca="false">IF(AND(A156&lt;&gt;"",D156&gt;0.005),ROUND(D156-G156-H156-I156,2),"")</f>
        <v/>
      </c>
      <c r="L156" s="41" t="str">
        <f aca="false">IF(AND(A156&lt;&gt;"",D156&gt;0.005),L155+F156,"")</f>
        <v/>
      </c>
      <c r="M156" s="41" t="str">
        <f aca="false">IF(AND(A156&lt;&gt;"",D156&gt;0.005),M155+G156+H156+I156,"")</f>
        <v/>
      </c>
      <c r="N156" s="43" t="str">
        <f aca="false">IF(B156="","",YEAR(B156))</f>
        <v/>
      </c>
      <c r="O156" s="44" t="n">
        <f aca="false">IF(AND(A156&lt;&gt;"",D156&gt;0.005),J156,0)</f>
        <v>0</v>
      </c>
      <c r="P156" s="44" t="n">
        <f aca="false">R155</f>
        <v>0</v>
      </c>
      <c r="Q156" s="44" t="n">
        <f aca="false">IF(AND(P156&gt;0.005,149&lt;=NPer),ROUND(P156*RP,2),0)</f>
        <v>0</v>
      </c>
      <c r="R156" s="44" t="n">
        <f aca="false">IF(AND(P156&gt;0.005,149&lt;=NPer),ROUND(P156-IF(149&lt;=Grace,0,IF(149=NPer,P156,IF(Method="Equal principal (reducing payments)",MIN(ROUND(EqPrin,2),P156),MIN(ROUND(Annuity-Q156,2),P156)))),2),0)</f>
        <v>0</v>
      </c>
    </row>
    <row r="157" customFormat="false" ht="15" hidden="false" customHeight="false" outlineLevel="0" collapsed="false">
      <c r="A157" s="38" t="str">
        <f aca="false">IF(AND(N(K156)&gt;0.005,A156&lt;NPer),A156+1,"")</f>
        <v/>
      </c>
      <c r="B157" s="39" t="str">
        <f aca="false">IF(A157="","",EDATE(Disb,A157*MPP))</f>
        <v/>
      </c>
      <c r="C157" s="40" t="str">
        <f aca="false">IF(A157="","",IF(A157&lt;=Grace,"Grace","Repayment"))</f>
        <v/>
      </c>
      <c r="D157" s="41" t="str">
        <f aca="false">IF(A157="","",K156)</f>
        <v/>
      </c>
      <c r="E157" s="41" t="str">
        <f aca="false">IF(AND(A157&lt;&gt;"",D157&gt;0.005),F157+G157,"")</f>
        <v/>
      </c>
      <c r="F157" s="41" t="str">
        <f aca="false">IF(AND(A157&lt;&gt;"",D157&gt;0.005),ROUND(D157*RP,2),"")</f>
        <v/>
      </c>
      <c r="G157" s="41" t="str">
        <f aca="false">IF(AND(A157&lt;&gt;"",D157&gt;0.005),IF(A157&lt;=Grace,0,IF(A157=NPer,D157,IF(Method="Equal principal (reducing payments)",MIN(ROUND(EqPrin,2),D157),MIN(ROUND(Annuity-F157,2),D157)))),"")</f>
        <v/>
      </c>
      <c r="H157" s="41" t="str">
        <f aca="false">IF(AND(A157&lt;&gt;"",D157&gt;0.005),IF(A157&lt;=Grace,0,MIN(Extra,D157-G157)),"")</f>
        <v/>
      </c>
      <c r="I157" s="41" t="str">
        <f aca="false">IF(AND(A157&lt;&gt;"",D157&gt;0.005),MIN(SUMIF(LumpN,A157,LumpAmt),D157-G157-H157),"")</f>
        <v/>
      </c>
      <c r="J157" s="42" t="str">
        <f aca="false">IF(AND(A157&lt;&gt;"",D157&gt;0.005),E157+H157+I157,"")</f>
        <v/>
      </c>
      <c r="K157" s="42" t="str">
        <f aca="false">IF(AND(A157&lt;&gt;"",D157&gt;0.005),ROUND(D157-G157-H157-I157,2),"")</f>
        <v/>
      </c>
      <c r="L157" s="41" t="str">
        <f aca="false">IF(AND(A157&lt;&gt;"",D157&gt;0.005),L156+F157,"")</f>
        <v/>
      </c>
      <c r="M157" s="41" t="str">
        <f aca="false">IF(AND(A157&lt;&gt;"",D157&gt;0.005),M156+G157+H157+I157,"")</f>
        <v/>
      </c>
      <c r="N157" s="43" t="str">
        <f aca="false">IF(B157="","",YEAR(B157))</f>
        <v/>
      </c>
      <c r="O157" s="44" t="n">
        <f aca="false">IF(AND(A157&lt;&gt;"",D157&gt;0.005),J157,0)</f>
        <v>0</v>
      </c>
      <c r="P157" s="44" t="n">
        <f aca="false">R156</f>
        <v>0</v>
      </c>
      <c r="Q157" s="44" t="n">
        <f aca="false">IF(AND(P157&gt;0.005,150&lt;=NPer),ROUND(P157*RP,2),0)</f>
        <v>0</v>
      </c>
      <c r="R157" s="44" t="n">
        <f aca="false">IF(AND(P157&gt;0.005,150&lt;=NPer),ROUND(P157-IF(150&lt;=Grace,0,IF(150=NPer,P157,IF(Method="Equal principal (reducing payments)",MIN(ROUND(EqPrin,2),P157),MIN(ROUND(Annuity-Q157,2),P157)))),2),0)</f>
        <v>0</v>
      </c>
    </row>
    <row r="158" customFormat="false" ht="15" hidden="false" customHeight="false" outlineLevel="0" collapsed="false">
      <c r="A158" s="38" t="str">
        <f aca="false">IF(AND(N(K157)&gt;0.005,A157&lt;NPer),A157+1,"")</f>
        <v/>
      </c>
      <c r="B158" s="39" t="str">
        <f aca="false">IF(A158="","",EDATE(Disb,A158*MPP))</f>
        <v/>
      </c>
      <c r="C158" s="40" t="str">
        <f aca="false">IF(A158="","",IF(A158&lt;=Grace,"Grace","Repayment"))</f>
        <v/>
      </c>
      <c r="D158" s="41" t="str">
        <f aca="false">IF(A158="","",K157)</f>
        <v/>
      </c>
      <c r="E158" s="41" t="str">
        <f aca="false">IF(AND(A158&lt;&gt;"",D158&gt;0.005),F158+G158,"")</f>
        <v/>
      </c>
      <c r="F158" s="41" t="str">
        <f aca="false">IF(AND(A158&lt;&gt;"",D158&gt;0.005),ROUND(D158*RP,2),"")</f>
        <v/>
      </c>
      <c r="G158" s="41" t="str">
        <f aca="false">IF(AND(A158&lt;&gt;"",D158&gt;0.005),IF(A158&lt;=Grace,0,IF(A158=NPer,D158,IF(Method="Equal principal (reducing payments)",MIN(ROUND(EqPrin,2),D158),MIN(ROUND(Annuity-F158,2),D158)))),"")</f>
        <v/>
      </c>
      <c r="H158" s="41" t="str">
        <f aca="false">IF(AND(A158&lt;&gt;"",D158&gt;0.005),IF(A158&lt;=Grace,0,MIN(Extra,D158-G158)),"")</f>
        <v/>
      </c>
      <c r="I158" s="41" t="str">
        <f aca="false">IF(AND(A158&lt;&gt;"",D158&gt;0.005),MIN(SUMIF(LumpN,A158,LumpAmt),D158-G158-H158),"")</f>
        <v/>
      </c>
      <c r="J158" s="42" t="str">
        <f aca="false">IF(AND(A158&lt;&gt;"",D158&gt;0.005),E158+H158+I158,"")</f>
        <v/>
      </c>
      <c r="K158" s="42" t="str">
        <f aca="false">IF(AND(A158&lt;&gt;"",D158&gt;0.005),ROUND(D158-G158-H158-I158,2),"")</f>
        <v/>
      </c>
      <c r="L158" s="41" t="str">
        <f aca="false">IF(AND(A158&lt;&gt;"",D158&gt;0.005),L157+F158,"")</f>
        <v/>
      </c>
      <c r="M158" s="41" t="str">
        <f aca="false">IF(AND(A158&lt;&gt;"",D158&gt;0.005),M157+G158+H158+I158,"")</f>
        <v/>
      </c>
      <c r="N158" s="43" t="str">
        <f aca="false">IF(B158="","",YEAR(B158))</f>
        <v/>
      </c>
      <c r="O158" s="44" t="n">
        <f aca="false">IF(AND(A158&lt;&gt;"",D158&gt;0.005),J158,0)</f>
        <v>0</v>
      </c>
      <c r="P158" s="44" t="n">
        <f aca="false">R157</f>
        <v>0</v>
      </c>
      <c r="Q158" s="44" t="n">
        <f aca="false">IF(AND(P158&gt;0.005,151&lt;=NPer),ROUND(P158*RP,2),0)</f>
        <v>0</v>
      </c>
      <c r="R158" s="44" t="n">
        <f aca="false">IF(AND(P158&gt;0.005,151&lt;=NPer),ROUND(P158-IF(151&lt;=Grace,0,IF(151=NPer,P158,IF(Method="Equal principal (reducing payments)",MIN(ROUND(EqPrin,2),P158),MIN(ROUND(Annuity-Q158,2),P158)))),2),0)</f>
        <v>0</v>
      </c>
    </row>
    <row r="159" customFormat="false" ht="15" hidden="false" customHeight="false" outlineLevel="0" collapsed="false">
      <c r="A159" s="38" t="str">
        <f aca="false">IF(AND(N(K158)&gt;0.005,A158&lt;NPer),A158+1,"")</f>
        <v/>
      </c>
      <c r="B159" s="39" t="str">
        <f aca="false">IF(A159="","",EDATE(Disb,A159*MPP))</f>
        <v/>
      </c>
      <c r="C159" s="40" t="str">
        <f aca="false">IF(A159="","",IF(A159&lt;=Grace,"Grace","Repayment"))</f>
        <v/>
      </c>
      <c r="D159" s="41" t="str">
        <f aca="false">IF(A159="","",K158)</f>
        <v/>
      </c>
      <c r="E159" s="41" t="str">
        <f aca="false">IF(AND(A159&lt;&gt;"",D159&gt;0.005),F159+G159,"")</f>
        <v/>
      </c>
      <c r="F159" s="41" t="str">
        <f aca="false">IF(AND(A159&lt;&gt;"",D159&gt;0.005),ROUND(D159*RP,2),"")</f>
        <v/>
      </c>
      <c r="G159" s="41" t="str">
        <f aca="false">IF(AND(A159&lt;&gt;"",D159&gt;0.005),IF(A159&lt;=Grace,0,IF(A159=NPer,D159,IF(Method="Equal principal (reducing payments)",MIN(ROUND(EqPrin,2),D159),MIN(ROUND(Annuity-F159,2),D159)))),"")</f>
        <v/>
      </c>
      <c r="H159" s="41" t="str">
        <f aca="false">IF(AND(A159&lt;&gt;"",D159&gt;0.005),IF(A159&lt;=Grace,0,MIN(Extra,D159-G159)),"")</f>
        <v/>
      </c>
      <c r="I159" s="41" t="str">
        <f aca="false">IF(AND(A159&lt;&gt;"",D159&gt;0.005),MIN(SUMIF(LumpN,A159,LumpAmt),D159-G159-H159),"")</f>
        <v/>
      </c>
      <c r="J159" s="42" t="str">
        <f aca="false">IF(AND(A159&lt;&gt;"",D159&gt;0.005),E159+H159+I159,"")</f>
        <v/>
      </c>
      <c r="K159" s="42" t="str">
        <f aca="false">IF(AND(A159&lt;&gt;"",D159&gt;0.005),ROUND(D159-G159-H159-I159,2),"")</f>
        <v/>
      </c>
      <c r="L159" s="41" t="str">
        <f aca="false">IF(AND(A159&lt;&gt;"",D159&gt;0.005),L158+F159,"")</f>
        <v/>
      </c>
      <c r="M159" s="41" t="str">
        <f aca="false">IF(AND(A159&lt;&gt;"",D159&gt;0.005),M158+G159+H159+I159,"")</f>
        <v/>
      </c>
      <c r="N159" s="43" t="str">
        <f aca="false">IF(B159="","",YEAR(B159))</f>
        <v/>
      </c>
      <c r="O159" s="44" t="n">
        <f aca="false">IF(AND(A159&lt;&gt;"",D159&gt;0.005),J159,0)</f>
        <v>0</v>
      </c>
      <c r="P159" s="44" t="n">
        <f aca="false">R158</f>
        <v>0</v>
      </c>
      <c r="Q159" s="44" t="n">
        <f aca="false">IF(AND(P159&gt;0.005,152&lt;=NPer),ROUND(P159*RP,2),0)</f>
        <v>0</v>
      </c>
      <c r="R159" s="44" t="n">
        <f aca="false">IF(AND(P159&gt;0.005,152&lt;=NPer),ROUND(P159-IF(152&lt;=Grace,0,IF(152=NPer,P159,IF(Method="Equal principal (reducing payments)",MIN(ROUND(EqPrin,2),P159),MIN(ROUND(Annuity-Q159,2),P159)))),2),0)</f>
        <v>0</v>
      </c>
    </row>
    <row r="160" customFormat="false" ht="15" hidden="false" customHeight="false" outlineLevel="0" collapsed="false">
      <c r="A160" s="38" t="str">
        <f aca="false">IF(AND(N(K159)&gt;0.005,A159&lt;NPer),A159+1,"")</f>
        <v/>
      </c>
      <c r="B160" s="39" t="str">
        <f aca="false">IF(A160="","",EDATE(Disb,A160*MPP))</f>
        <v/>
      </c>
      <c r="C160" s="40" t="str">
        <f aca="false">IF(A160="","",IF(A160&lt;=Grace,"Grace","Repayment"))</f>
        <v/>
      </c>
      <c r="D160" s="41" t="str">
        <f aca="false">IF(A160="","",K159)</f>
        <v/>
      </c>
      <c r="E160" s="41" t="str">
        <f aca="false">IF(AND(A160&lt;&gt;"",D160&gt;0.005),F160+G160,"")</f>
        <v/>
      </c>
      <c r="F160" s="41" t="str">
        <f aca="false">IF(AND(A160&lt;&gt;"",D160&gt;0.005),ROUND(D160*RP,2),"")</f>
        <v/>
      </c>
      <c r="G160" s="41" t="str">
        <f aca="false">IF(AND(A160&lt;&gt;"",D160&gt;0.005),IF(A160&lt;=Grace,0,IF(A160=NPer,D160,IF(Method="Equal principal (reducing payments)",MIN(ROUND(EqPrin,2),D160),MIN(ROUND(Annuity-F160,2),D160)))),"")</f>
        <v/>
      </c>
      <c r="H160" s="41" t="str">
        <f aca="false">IF(AND(A160&lt;&gt;"",D160&gt;0.005),IF(A160&lt;=Grace,0,MIN(Extra,D160-G160)),"")</f>
        <v/>
      </c>
      <c r="I160" s="41" t="str">
        <f aca="false">IF(AND(A160&lt;&gt;"",D160&gt;0.005),MIN(SUMIF(LumpN,A160,LumpAmt),D160-G160-H160),"")</f>
        <v/>
      </c>
      <c r="J160" s="42" t="str">
        <f aca="false">IF(AND(A160&lt;&gt;"",D160&gt;0.005),E160+H160+I160,"")</f>
        <v/>
      </c>
      <c r="K160" s="42" t="str">
        <f aca="false">IF(AND(A160&lt;&gt;"",D160&gt;0.005),ROUND(D160-G160-H160-I160,2),"")</f>
        <v/>
      </c>
      <c r="L160" s="41" t="str">
        <f aca="false">IF(AND(A160&lt;&gt;"",D160&gt;0.005),L159+F160,"")</f>
        <v/>
      </c>
      <c r="M160" s="41" t="str">
        <f aca="false">IF(AND(A160&lt;&gt;"",D160&gt;0.005),M159+G160+H160+I160,"")</f>
        <v/>
      </c>
      <c r="N160" s="43" t="str">
        <f aca="false">IF(B160="","",YEAR(B160))</f>
        <v/>
      </c>
      <c r="O160" s="44" t="n">
        <f aca="false">IF(AND(A160&lt;&gt;"",D160&gt;0.005),J160,0)</f>
        <v>0</v>
      </c>
      <c r="P160" s="44" t="n">
        <f aca="false">R159</f>
        <v>0</v>
      </c>
      <c r="Q160" s="44" t="n">
        <f aca="false">IF(AND(P160&gt;0.005,153&lt;=NPer),ROUND(P160*RP,2),0)</f>
        <v>0</v>
      </c>
      <c r="R160" s="44" t="n">
        <f aca="false">IF(AND(P160&gt;0.005,153&lt;=NPer),ROUND(P160-IF(153&lt;=Grace,0,IF(153=NPer,P160,IF(Method="Equal principal (reducing payments)",MIN(ROUND(EqPrin,2),P160),MIN(ROUND(Annuity-Q160,2),P160)))),2),0)</f>
        <v>0</v>
      </c>
    </row>
    <row r="161" customFormat="false" ht="15" hidden="false" customHeight="false" outlineLevel="0" collapsed="false">
      <c r="A161" s="38" t="str">
        <f aca="false">IF(AND(N(K160)&gt;0.005,A160&lt;NPer),A160+1,"")</f>
        <v/>
      </c>
      <c r="B161" s="39" t="str">
        <f aca="false">IF(A161="","",EDATE(Disb,A161*MPP))</f>
        <v/>
      </c>
      <c r="C161" s="40" t="str">
        <f aca="false">IF(A161="","",IF(A161&lt;=Grace,"Grace","Repayment"))</f>
        <v/>
      </c>
      <c r="D161" s="41" t="str">
        <f aca="false">IF(A161="","",K160)</f>
        <v/>
      </c>
      <c r="E161" s="41" t="str">
        <f aca="false">IF(AND(A161&lt;&gt;"",D161&gt;0.005),F161+G161,"")</f>
        <v/>
      </c>
      <c r="F161" s="41" t="str">
        <f aca="false">IF(AND(A161&lt;&gt;"",D161&gt;0.005),ROUND(D161*RP,2),"")</f>
        <v/>
      </c>
      <c r="G161" s="41" t="str">
        <f aca="false">IF(AND(A161&lt;&gt;"",D161&gt;0.005),IF(A161&lt;=Grace,0,IF(A161=NPer,D161,IF(Method="Equal principal (reducing payments)",MIN(ROUND(EqPrin,2),D161),MIN(ROUND(Annuity-F161,2),D161)))),"")</f>
        <v/>
      </c>
      <c r="H161" s="41" t="str">
        <f aca="false">IF(AND(A161&lt;&gt;"",D161&gt;0.005),IF(A161&lt;=Grace,0,MIN(Extra,D161-G161)),"")</f>
        <v/>
      </c>
      <c r="I161" s="41" t="str">
        <f aca="false">IF(AND(A161&lt;&gt;"",D161&gt;0.005),MIN(SUMIF(LumpN,A161,LumpAmt),D161-G161-H161),"")</f>
        <v/>
      </c>
      <c r="J161" s="42" t="str">
        <f aca="false">IF(AND(A161&lt;&gt;"",D161&gt;0.005),E161+H161+I161,"")</f>
        <v/>
      </c>
      <c r="K161" s="42" t="str">
        <f aca="false">IF(AND(A161&lt;&gt;"",D161&gt;0.005),ROUND(D161-G161-H161-I161,2),"")</f>
        <v/>
      </c>
      <c r="L161" s="41" t="str">
        <f aca="false">IF(AND(A161&lt;&gt;"",D161&gt;0.005),L160+F161,"")</f>
        <v/>
      </c>
      <c r="M161" s="41" t="str">
        <f aca="false">IF(AND(A161&lt;&gt;"",D161&gt;0.005),M160+G161+H161+I161,"")</f>
        <v/>
      </c>
      <c r="N161" s="43" t="str">
        <f aca="false">IF(B161="","",YEAR(B161))</f>
        <v/>
      </c>
      <c r="O161" s="44" t="n">
        <f aca="false">IF(AND(A161&lt;&gt;"",D161&gt;0.005),J161,0)</f>
        <v>0</v>
      </c>
      <c r="P161" s="44" t="n">
        <f aca="false">R160</f>
        <v>0</v>
      </c>
      <c r="Q161" s="44" t="n">
        <f aca="false">IF(AND(P161&gt;0.005,154&lt;=NPer),ROUND(P161*RP,2),0)</f>
        <v>0</v>
      </c>
      <c r="R161" s="44" t="n">
        <f aca="false">IF(AND(P161&gt;0.005,154&lt;=NPer),ROUND(P161-IF(154&lt;=Grace,0,IF(154=NPer,P161,IF(Method="Equal principal (reducing payments)",MIN(ROUND(EqPrin,2),P161),MIN(ROUND(Annuity-Q161,2),P161)))),2),0)</f>
        <v>0</v>
      </c>
    </row>
    <row r="162" customFormat="false" ht="15" hidden="false" customHeight="false" outlineLevel="0" collapsed="false">
      <c r="A162" s="38" t="str">
        <f aca="false">IF(AND(N(K161)&gt;0.005,A161&lt;NPer),A161+1,"")</f>
        <v/>
      </c>
      <c r="B162" s="39" t="str">
        <f aca="false">IF(A162="","",EDATE(Disb,A162*MPP))</f>
        <v/>
      </c>
      <c r="C162" s="40" t="str">
        <f aca="false">IF(A162="","",IF(A162&lt;=Grace,"Grace","Repayment"))</f>
        <v/>
      </c>
      <c r="D162" s="41" t="str">
        <f aca="false">IF(A162="","",K161)</f>
        <v/>
      </c>
      <c r="E162" s="41" t="str">
        <f aca="false">IF(AND(A162&lt;&gt;"",D162&gt;0.005),F162+G162,"")</f>
        <v/>
      </c>
      <c r="F162" s="41" t="str">
        <f aca="false">IF(AND(A162&lt;&gt;"",D162&gt;0.005),ROUND(D162*RP,2),"")</f>
        <v/>
      </c>
      <c r="G162" s="41" t="str">
        <f aca="false">IF(AND(A162&lt;&gt;"",D162&gt;0.005),IF(A162&lt;=Grace,0,IF(A162=NPer,D162,IF(Method="Equal principal (reducing payments)",MIN(ROUND(EqPrin,2),D162),MIN(ROUND(Annuity-F162,2),D162)))),"")</f>
        <v/>
      </c>
      <c r="H162" s="41" t="str">
        <f aca="false">IF(AND(A162&lt;&gt;"",D162&gt;0.005),IF(A162&lt;=Grace,0,MIN(Extra,D162-G162)),"")</f>
        <v/>
      </c>
      <c r="I162" s="41" t="str">
        <f aca="false">IF(AND(A162&lt;&gt;"",D162&gt;0.005),MIN(SUMIF(LumpN,A162,LumpAmt),D162-G162-H162),"")</f>
        <v/>
      </c>
      <c r="J162" s="42" t="str">
        <f aca="false">IF(AND(A162&lt;&gt;"",D162&gt;0.005),E162+H162+I162,"")</f>
        <v/>
      </c>
      <c r="K162" s="42" t="str">
        <f aca="false">IF(AND(A162&lt;&gt;"",D162&gt;0.005),ROUND(D162-G162-H162-I162,2),"")</f>
        <v/>
      </c>
      <c r="L162" s="41" t="str">
        <f aca="false">IF(AND(A162&lt;&gt;"",D162&gt;0.005),L161+F162,"")</f>
        <v/>
      </c>
      <c r="M162" s="41" t="str">
        <f aca="false">IF(AND(A162&lt;&gt;"",D162&gt;0.005),M161+G162+H162+I162,"")</f>
        <v/>
      </c>
      <c r="N162" s="43" t="str">
        <f aca="false">IF(B162="","",YEAR(B162))</f>
        <v/>
      </c>
      <c r="O162" s="44" t="n">
        <f aca="false">IF(AND(A162&lt;&gt;"",D162&gt;0.005),J162,0)</f>
        <v>0</v>
      </c>
      <c r="P162" s="44" t="n">
        <f aca="false">R161</f>
        <v>0</v>
      </c>
      <c r="Q162" s="44" t="n">
        <f aca="false">IF(AND(P162&gt;0.005,155&lt;=NPer),ROUND(P162*RP,2),0)</f>
        <v>0</v>
      </c>
      <c r="R162" s="44" t="n">
        <f aca="false">IF(AND(P162&gt;0.005,155&lt;=NPer),ROUND(P162-IF(155&lt;=Grace,0,IF(155=NPer,P162,IF(Method="Equal principal (reducing payments)",MIN(ROUND(EqPrin,2),P162),MIN(ROUND(Annuity-Q162,2),P162)))),2),0)</f>
        <v>0</v>
      </c>
    </row>
    <row r="163" customFormat="false" ht="15" hidden="false" customHeight="false" outlineLevel="0" collapsed="false">
      <c r="A163" s="38" t="str">
        <f aca="false">IF(AND(N(K162)&gt;0.005,A162&lt;NPer),A162+1,"")</f>
        <v/>
      </c>
      <c r="B163" s="39" t="str">
        <f aca="false">IF(A163="","",EDATE(Disb,A163*MPP))</f>
        <v/>
      </c>
      <c r="C163" s="40" t="str">
        <f aca="false">IF(A163="","",IF(A163&lt;=Grace,"Grace","Repayment"))</f>
        <v/>
      </c>
      <c r="D163" s="41" t="str">
        <f aca="false">IF(A163="","",K162)</f>
        <v/>
      </c>
      <c r="E163" s="41" t="str">
        <f aca="false">IF(AND(A163&lt;&gt;"",D163&gt;0.005),F163+G163,"")</f>
        <v/>
      </c>
      <c r="F163" s="41" t="str">
        <f aca="false">IF(AND(A163&lt;&gt;"",D163&gt;0.005),ROUND(D163*RP,2),"")</f>
        <v/>
      </c>
      <c r="G163" s="41" t="str">
        <f aca="false">IF(AND(A163&lt;&gt;"",D163&gt;0.005),IF(A163&lt;=Grace,0,IF(A163=NPer,D163,IF(Method="Equal principal (reducing payments)",MIN(ROUND(EqPrin,2),D163),MIN(ROUND(Annuity-F163,2),D163)))),"")</f>
        <v/>
      </c>
      <c r="H163" s="41" t="str">
        <f aca="false">IF(AND(A163&lt;&gt;"",D163&gt;0.005),IF(A163&lt;=Grace,0,MIN(Extra,D163-G163)),"")</f>
        <v/>
      </c>
      <c r="I163" s="41" t="str">
        <f aca="false">IF(AND(A163&lt;&gt;"",D163&gt;0.005),MIN(SUMIF(LumpN,A163,LumpAmt),D163-G163-H163),"")</f>
        <v/>
      </c>
      <c r="J163" s="42" t="str">
        <f aca="false">IF(AND(A163&lt;&gt;"",D163&gt;0.005),E163+H163+I163,"")</f>
        <v/>
      </c>
      <c r="K163" s="42" t="str">
        <f aca="false">IF(AND(A163&lt;&gt;"",D163&gt;0.005),ROUND(D163-G163-H163-I163,2),"")</f>
        <v/>
      </c>
      <c r="L163" s="41" t="str">
        <f aca="false">IF(AND(A163&lt;&gt;"",D163&gt;0.005),L162+F163,"")</f>
        <v/>
      </c>
      <c r="M163" s="41" t="str">
        <f aca="false">IF(AND(A163&lt;&gt;"",D163&gt;0.005),M162+G163+H163+I163,"")</f>
        <v/>
      </c>
      <c r="N163" s="43" t="str">
        <f aca="false">IF(B163="","",YEAR(B163))</f>
        <v/>
      </c>
      <c r="O163" s="44" t="n">
        <f aca="false">IF(AND(A163&lt;&gt;"",D163&gt;0.005),J163,0)</f>
        <v>0</v>
      </c>
      <c r="P163" s="44" t="n">
        <f aca="false">R162</f>
        <v>0</v>
      </c>
      <c r="Q163" s="44" t="n">
        <f aca="false">IF(AND(P163&gt;0.005,156&lt;=NPer),ROUND(P163*RP,2),0)</f>
        <v>0</v>
      </c>
      <c r="R163" s="44" t="n">
        <f aca="false">IF(AND(P163&gt;0.005,156&lt;=NPer),ROUND(P163-IF(156&lt;=Grace,0,IF(156=NPer,P163,IF(Method="Equal principal (reducing payments)",MIN(ROUND(EqPrin,2),P163),MIN(ROUND(Annuity-Q163,2),P163)))),2),0)</f>
        <v>0</v>
      </c>
    </row>
    <row r="164" customFormat="false" ht="15" hidden="false" customHeight="false" outlineLevel="0" collapsed="false">
      <c r="A164" s="38" t="str">
        <f aca="false">IF(AND(N(K163)&gt;0.005,A163&lt;NPer),A163+1,"")</f>
        <v/>
      </c>
      <c r="B164" s="39" t="str">
        <f aca="false">IF(A164="","",EDATE(Disb,A164*MPP))</f>
        <v/>
      </c>
      <c r="C164" s="40" t="str">
        <f aca="false">IF(A164="","",IF(A164&lt;=Grace,"Grace","Repayment"))</f>
        <v/>
      </c>
      <c r="D164" s="41" t="str">
        <f aca="false">IF(A164="","",K163)</f>
        <v/>
      </c>
      <c r="E164" s="41" t="str">
        <f aca="false">IF(AND(A164&lt;&gt;"",D164&gt;0.005),F164+G164,"")</f>
        <v/>
      </c>
      <c r="F164" s="41" t="str">
        <f aca="false">IF(AND(A164&lt;&gt;"",D164&gt;0.005),ROUND(D164*RP,2),"")</f>
        <v/>
      </c>
      <c r="G164" s="41" t="str">
        <f aca="false">IF(AND(A164&lt;&gt;"",D164&gt;0.005),IF(A164&lt;=Grace,0,IF(A164=NPer,D164,IF(Method="Equal principal (reducing payments)",MIN(ROUND(EqPrin,2),D164),MIN(ROUND(Annuity-F164,2),D164)))),"")</f>
        <v/>
      </c>
      <c r="H164" s="41" t="str">
        <f aca="false">IF(AND(A164&lt;&gt;"",D164&gt;0.005),IF(A164&lt;=Grace,0,MIN(Extra,D164-G164)),"")</f>
        <v/>
      </c>
      <c r="I164" s="41" t="str">
        <f aca="false">IF(AND(A164&lt;&gt;"",D164&gt;0.005),MIN(SUMIF(LumpN,A164,LumpAmt),D164-G164-H164),"")</f>
        <v/>
      </c>
      <c r="J164" s="42" t="str">
        <f aca="false">IF(AND(A164&lt;&gt;"",D164&gt;0.005),E164+H164+I164,"")</f>
        <v/>
      </c>
      <c r="K164" s="42" t="str">
        <f aca="false">IF(AND(A164&lt;&gt;"",D164&gt;0.005),ROUND(D164-G164-H164-I164,2),"")</f>
        <v/>
      </c>
      <c r="L164" s="41" t="str">
        <f aca="false">IF(AND(A164&lt;&gt;"",D164&gt;0.005),L163+F164,"")</f>
        <v/>
      </c>
      <c r="M164" s="41" t="str">
        <f aca="false">IF(AND(A164&lt;&gt;"",D164&gt;0.005),M163+G164+H164+I164,"")</f>
        <v/>
      </c>
      <c r="N164" s="43" t="str">
        <f aca="false">IF(B164="","",YEAR(B164))</f>
        <v/>
      </c>
      <c r="O164" s="44" t="n">
        <f aca="false">IF(AND(A164&lt;&gt;"",D164&gt;0.005),J164,0)</f>
        <v>0</v>
      </c>
      <c r="P164" s="44" t="n">
        <f aca="false">R163</f>
        <v>0</v>
      </c>
      <c r="Q164" s="44" t="n">
        <f aca="false">IF(AND(P164&gt;0.005,157&lt;=NPer),ROUND(P164*RP,2),0)</f>
        <v>0</v>
      </c>
      <c r="R164" s="44" t="n">
        <f aca="false">IF(AND(P164&gt;0.005,157&lt;=NPer),ROUND(P164-IF(157&lt;=Grace,0,IF(157=NPer,P164,IF(Method="Equal principal (reducing payments)",MIN(ROUND(EqPrin,2),P164),MIN(ROUND(Annuity-Q164,2),P164)))),2),0)</f>
        <v>0</v>
      </c>
    </row>
    <row r="165" customFormat="false" ht="15" hidden="false" customHeight="false" outlineLevel="0" collapsed="false">
      <c r="A165" s="38" t="str">
        <f aca="false">IF(AND(N(K164)&gt;0.005,A164&lt;NPer),A164+1,"")</f>
        <v/>
      </c>
      <c r="B165" s="39" t="str">
        <f aca="false">IF(A165="","",EDATE(Disb,A165*MPP))</f>
        <v/>
      </c>
      <c r="C165" s="40" t="str">
        <f aca="false">IF(A165="","",IF(A165&lt;=Grace,"Grace","Repayment"))</f>
        <v/>
      </c>
      <c r="D165" s="41" t="str">
        <f aca="false">IF(A165="","",K164)</f>
        <v/>
      </c>
      <c r="E165" s="41" t="str">
        <f aca="false">IF(AND(A165&lt;&gt;"",D165&gt;0.005),F165+G165,"")</f>
        <v/>
      </c>
      <c r="F165" s="41" t="str">
        <f aca="false">IF(AND(A165&lt;&gt;"",D165&gt;0.005),ROUND(D165*RP,2),"")</f>
        <v/>
      </c>
      <c r="G165" s="41" t="str">
        <f aca="false">IF(AND(A165&lt;&gt;"",D165&gt;0.005),IF(A165&lt;=Grace,0,IF(A165=NPer,D165,IF(Method="Equal principal (reducing payments)",MIN(ROUND(EqPrin,2),D165),MIN(ROUND(Annuity-F165,2),D165)))),"")</f>
        <v/>
      </c>
      <c r="H165" s="41" t="str">
        <f aca="false">IF(AND(A165&lt;&gt;"",D165&gt;0.005),IF(A165&lt;=Grace,0,MIN(Extra,D165-G165)),"")</f>
        <v/>
      </c>
      <c r="I165" s="41" t="str">
        <f aca="false">IF(AND(A165&lt;&gt;"",D165&gt;0.005),MIN(SUMIF(LumpN,A165,LumpAmt),D165-G165-H165),"")</f>
        <v/>
      </c>
      <c r="J165" s="42" t="str">
        <f aca="false">IF(AND(A165&lt;&gt;"",D165&gt;0.005),E165+H165+I165,"")</f>
        <v/>
      </c>
      <c r="K165" s="42" t="str">
        <f aca="false">IF(AND(A165&lt;&gt;"",D165&gt;0.005),ROUND(D165-G165-H165-I165,2),"")</f>
        <v/>
      </c>
      <c r="L165" s="41" t="str">
        <f aca="false">IF(AND(A165&lt;&gt;"",D165&gt;0.005),L164+F165,"")</f>
        <v/>
      </c>
      <c r="M165" s="41" t="str">
        <f aca="false">IF(AND(A165&lt;&gt;"",D165&gt;0.005),M164+G165+H165+I165,"")</f>
        <v/>
      </c>
      <c r="N165" s="43" t="str">
        <f aca="false">IF(B165="","",YEAR(B165))</f>
        <v/>
      </c>
      <c r="O165" s="44" t="n">
        <f aca="false">IF(AND(A165&lt;&gt;"",D165&gt;0.005),J165,0)</f>
        <v>0</v>
      </c>
      <c r="P165" s="44" t="n">
        <f aca="false">R164</f>
        <v>0</v>
      </c>
      <c r="Q165" s="44" t="n">
        <f aca="false">IF(AND(P165&gt;0.005,158&lt;=NPer),ROUND(P165*RP,2),0)</f>
        <v>0</v>
      </c>
      <c r="R165" s="44" t="n">
        <f aca="false">IF(AND(P165&gt;0.005,158&lt;=NPer),ROUND(P165-IF(158&lt;=Grace,0,IF(158=NPer,P165,IF(Method="Equal principal (reducing payments)",MIN(ROUND(EqPrin,2),P165),MIN(ROUND(Annuity-Q165,2),P165)))),2),0)</f>
        <v>0</v>
      </c>
    </row>
    <row r="166" customFormat="false" ht="15" hidden="false" customHeight="false" outlineLevel="0" collapsed="false">
      <c r="A166" s="38" t="str">
        <f aca="false">IF(AND(N(K165)&gt;0.005,A165&lt;NPer),A165+1,"")</f>
        <v/>
      </c>
      <c r="B166" s="39" t="str">
        <f aca="false">IF(A166="","",EDATE(Disb,A166*MPP))</f>
        <v/>
      </c>
      <c r="C166" s="40" t="str">
        <f aca="false">IF(A166="","",IF(A166&lt;=Grace,"Grace","Repayment"))</f>
        <v/>
      </c>
      <c r="D166" s="41" t="str">
        <f aca="false">IF(A166="","",K165)</f>
        <v/>
      </c>
      <c r="E166" s="41" t="str">
        <f aca="false">IF(AND(A166&lt;&gt;"",D166&gt;0.005),F166+G166,"")</f>
        <v/>
      </c>
      <c r="F166" s="41" t="str">
        <f aca="false">IF(AND(A166&lt;&gt;"",D166&gt;0.005),ROUND(D166*RP,2),"")</f>
        <v/>
      </c>
      <c r="G166" s="41" t="str">
        <f aca="false">IF(AND(A166&lt;&gt;"",D166&gt;0.005),IF(A166&lt;=Grace,0,IF(A166=NPer,D166,IF(Method="Equal principal (reducing payments)",MIN(ROUND(EqPrin,2),D166),MIN(ROUND(Annuity-F166,2),D166)))),"")</f>
        <v/>
      </c>
      <c r="H166" s="41" t="str">
        <f aca="false">IF(AND(A166&lt;&gt;"",D166&gt;0.005),IF(A166&lt;=Grace,0,MIN(Extra,D166-G166)),"")</f>
        <v/>
      </c>
      <c r="I166" s="41" t="str">
        <f aca="false">IF(AND(A166&lt;&gt;"",D166&gt;0.005),MIN(SUMIF(LumpN,A166,LumpAmt),D166-G166-H166),"")</f>
        <v/>
      </c>
      <c r="J166" s="42" t="str">
        <f aca="false">IF(AND(A166&lt;&gt;"",D166&gt;0.005),E166+H166+I166,"")</f>
        <v/>
      </c>
      <c r="K166" s="42" t="str">
        <f aca="false">IF(AND(A166&lt;&gt;"",D166&gt;0.005),ROUND(D166-G166-H166-I166,2),"")</f>
        <v/>
      </c>
      <c r="L166" s="41" t="str">
        <f aca="false">IF(AND(A166&lt;&gt;"",D166&gt;0.005),L165+F166,"")</f>
        <v/>
      </c>
      <c r="M166" s="41" t="str">
        <f aca="false">IF(AND(A166&lt;&gt;"",D166&gt;0.005),M165+G166+H166+I166,"")</f>
        <v/>
      </c>
      <c r="N166" s="43" t="str">
        <f aca="false">IF(B166="","",YEAR(B166))</f>
        <v/>
      </c>
      <c r="O166" s="44" t="n">
        <f aca="false">IF(AND(A166&lt;&gt;"",D166&gt;0.005),J166,0)</f>
        <v>0</v>
      </c>
      <c r="P166" s="44" t="n">
        <f aca="false">R165</f>
        <v>0</v>
      </c>
      <c r="Q166" s="44" t="n">
        <f aca="false">IF(AND(P166&gt;0.005,159&lt;=NPer),ROUND(P166*RP,2),0)</f>
        <v>0</v>
      </c>
      <c r="R166" s="44" t="n">
        <f aca="false">IF(AND(P166&gt;0.005,159&lt;=NPer),ROUND(P166-IF(159&lt;=Grace,0,IF(159=NPer,P166,IF(Method="Equal principal (reducing payments)",MIN(ROUND(EqPrin,2),P166),MIN(ROUND(Annuity-Q166,2),P166)))),2),0)</f>
        <v>0</v>
      </c>
    </row>
    <row r="167" customFormat="false" ht="15" hidden="false" customHeight="false" outlineLevel="0" collapsed="false">
      <c r="A167" s="38" t="str">
        <f aca="false">IF(AND(N(K166)&gt;0.005,A166&lt;NPer),A166+1,"")</f>
        <v/>
      </c>
      <c r="B167" s="39" t="str">
        <f aca="false">IF(A167="","",EDATE(Disb,A167*MPP))</f>
        <v/>
      </c>
      <c r="C167" s="40" t="str">
        <f aca="false">IF(A167="","",IF(A167&lt;=Grace,"Grace","Repayment"))</f>
        <v/>
      </c>
      <c r="D167" s="41" t="str">
        <f aca="false">IF(A167="","",K166)</f>
        <v/>
      </c>
      <c r="E167" s="41" t="str">
        <f aca="false">IF(AND(A167&lt;&gt;"",D167&gt;0.005),F167+G167,"")</f>
        <v/>
      </c>
      <c r="F167" s="41" t="str">
        <f aca="false">IF(AND(A167&lt;&gt;"",D167&gt;0.005),ROUND(D167*RP,2),"")</f>
        <v/>
      </c>
      <c r="G167" s="41" t="str">
        <f aca="false">IF(AND(A167&lt;&gt;"",D167&gt;0.005),IF(A167&lt;=Grace,0,IF(A167=NPer,D167,IF(Method="Equal principal (reducing payments)",MIN(ROUND(EqPrin,2),D167),MIN(ROUND(Annuity-F167,2),D167)))),"")</f>
        <v/>
      </c>
      <c r="H167" s="41" t="str">
        <f aca="false">IF(AND(A167&lt;&gt;"",D167&gt;0.005),IF(A167&lt;=Grace,0,MIN(Extra,D167-G167)),"")</f>
        <v/>
      </c>
      <c r="I167" s="41" t="str">
        <f aca="false">IF(AND(A167&lt;&gt;"",D167&gt;0.005),MIN(SUMIF(LumpN,A167,LumpAmt),D167-G167-H167),"")</f>
        <v/>
      </c>
      <c r="J167" s="42" t="str">
        <f aca="false">IF(AND(A167&lt;&gt;"",D167&gt;0.005),E167+H167+I167,"")</f>
        <v/>
      </c>
      <c r="K167" s="42" t="str">
        <f aca="false">IF(AND(A167&lt;&gt;"",D167&gt;0.005),ROUND(D167-G167-H167-I167,2),"")</f>
        <v/>
      </c>
      <c r="L167" s="41" t="str">
        <f aca="false">IF(AND(A167&lt;&gt;"",D167&gt;0.005),L166+F167,"")</f>
        <v/>
      </c>
      <c r="M167" s="41" t="str">
        <f aca="false">IF(AND(A167&lt;&gt;"",D167&gt;0.005),M166+G167+H167+I167,"")</f>
        <v/>
      </c>
      <c r="N167" s="43" t="str">
        <f aca="false">IF(B167="","",YEAR(B167))</f>
        <v/>
      </c>
      <c r="O167" s="44" t="n">
        <f aca="false">IF(AND(A167&lt;&gt;"",D167&gt;0.005),J167,0)</f>
        <v>0</v>
      </c>
      <c r="P167" s="44" t="n">
        <f aca="false">R166</f>
        <v>0</v>
      </c>
      <c r="Q167" s="44" t="n">
        <f aca="false">IF(AND(P167&gt;0.005,160&lt;=NPer),ROUND(P167*RP,2),0)</f>
        <v>0</v>
      </c>
      <c r="R167" s="44" t="n">
        <f aca="false">IF(AND(P167&gt;0.005,160&lt;=NPer),ROUND(P167-IF(160&lt;=Grace,0,IF(160=NPer,P167,IF(Method="Equal principal (reducing payments)",MIN(ROUND(EqPrin,2),P167),MIN(ROUND(Annuity-Q167,2),P167)))),2),0)</f>
        <v>0</v>
      </c>
    </row>
    <row r="168" customFormat="false" ht="15" hidden="false" customHeight="false" outlineLevel="0" collapsed="false">
      <c r="A168" s="38" t="str">
        <f aca="false">IF(AND(N(K167)&gt;0.005,A167&lt;NPer),A167+1,"")</f>
        <v/>
      </c>
      <c r="B168" s="39" t="str">
        <f aca="false">IF(A168="","",EDATE(Disb,A168*MPP))</f>
        <v/>
      </c>
      <c r="C168" s="40" t="str">
        <f aca="false">IF(A168="","",IF(A168&lt;=Grace,"Grace","Repayment"))</f>
        <v/>
      </c>
      <c r="D168" s="41" t="str">
        <f aca="false">IF(A168="","",K167)</f>
        <v/>
      </c>
      <c r="E168" s="41" t="str">
        <f aca="false">IF(AND(A168&lt;&gt;"",D168&gt;0.005),F168+G168,"")</f>
        <v/>
      </c>
      <c r="F168" s="41" t="str">
        <f aca="false">IF(AND(A168&lt;&gt;"",D168&gt;0.005),ROUND(D168*RP,2),"")</f>
        <v/>
      </c>
      <c r="G168" s="41" t="str">
        <f aca="false">IF(AND(A168&lt;&gt;"",D168&gt;0.005),IF(A168&lt;=Grace,0,IF(A168=NPer,D168,IF(Method="Equal principal (reducing payments)",MIN(ROUND(EqPrin,2),D168),MIN(ROUND(Annuity-F168,2),D168)))),"")</f>
        <v/>
      </c>
      <c r="H168" s="41" t="str">
        <f aca="false">IF(AND(A168&lt;&gt;"",D168&gt;0.005),IF(A168&lt;=Grace,0,MIN(Extra,D168-G168)),"")</f>
        <v/>
      </c>
      <c r="I168" s="41" t="str">
        <f aca="false">IF(AND(A168&lt;&gt;"",D168&gt;0.005),MIN(SUMIF(LumpN,A168,LumpAmt),D168-G168-H168),"")</f>
        <v/>
      </c>
      <c r="J168" s="42" t="str">
        <f aca="false">IF(AND(A168&lt;&gt;"",D168&gt;0.005),E168+H168+I168,"")</f>
        <v/>
      </c>
      <c r="K168" s="42" t="str">
        <f aca="false">IF(AND(A168&lt;&gt;"",D168&gt;0.005),ROUND(D168-G168-H168-I168,2),"")</f>
        <v/>
      </c>
      <c r="L168" s="41" t="str">
        <f aca="false">IF(AND(A168&lt;&gt;"",D168&gt;0.005),L167+F168,"")</f>
        <v/>
      </c>
      <c r="M168" s="41" t="str">
        <f aca="false">IF(AND(A168&lt;&gt;"",D168&gt;0.005),M167+G168+H168+I168,"")</f>
        <v/>
      </c>
      <c r="N168" s="43" t="str">
        <f aca="false">IF(B168="","",YEAR(B168))</f>
        <v/>
      </c>
      <c r="O168" s="44" t="n">
        <f aca="false">IF(AND(A168&lt;&gt;"",D168&gt;0.005),J168,0)</f>
        <v>0</v>
      </c>
      <c r="P168" s="44" t="n">
        <f aca="false">R167</f>
        <v>0</v>
      </c>
      <c r="Q168" s="44" t="n">
        <f aca="false">IF(AND(P168&gt;0.005,161&lt;=NPer),ROUND(P168*RP,2),0)</f>
        <v>0</v>
      </c>
      <c r="R168" s="44" t="n">
        <f aca="false">IF(AND(P168&gt;0.005,161&lt;=NPer),ROUND(P168-IF(161&lt;=Grace,0,IF(161=NPer,P168,IF(Method="Equal principal (reducing payments)",MIN(ROUND(EqPrin,2),P168),MIN(ROUND(Annuity-Q168,2),P168)))),2),0)</f>
        <v>0</v>
      </c>
    </row>
    <row r="169" customFormat="false" ht="15" hidden="false" customHeight="false" outlineLevel="0" collapsed="false">
      <c r="A169" s="38" t="str">
        <f aca="false">IF(AND(N(K168)&gt;0.005,A168&lt;NPer),A168+1,"")</f>
        <v/>
      </c>
      <c r="B169" s="39" t="str">
        <f aca="false">IF(A169="","",EDATE(Disb,A169*MPP))</f>
        <v/>
      </c>
      <c r="C169" s="40" t="str">
        <f aca="false">IF(A169="","",IF(A169&lt;=Grace,"Grace","Repayment"))</f>
        <v/>
      </c>
      <c r="D169" s="41" t="str">
        <f aca="false">IF(A169="","",K168)</f>
        <v/>
      </c>
      <c r="E169" s="41" t="str">
        <f aca="false">IF(AND(A169&lt;&gt;"",D169&gt;0.005),F169+G169,"")</f>
        <v/>
      </c>
      <c r="F169" s="41" t="str">
        <f aca="false">IF(AND(A169&lt;&gt;"",D169&gt;0.005),ROUND(D169*RP,2),"")</f>
        <v/>
      </c>
      <c r="G169" s="41" t="str">
        <f aca="false">IF(AND(A169&lt;&gt;"",D169&gt;0.005),IF(A169&lt;=Grace,0,IF(A169=NPer,D169,IF(Method="Equal principal (reducing payments)",MIN(ROUND(EqPrin,2),D169),MIN(ROUND(Annuity-F169,2),D169)))),"")</f>
        <v/>
      </c>
      <c r="H169" s="41" t="str">
        <f aca="false">IF(AND(A169&lt;&gt;"",D169&gt;0.005),IF(A169&lt;=Grace,0,MIN(Extra,D169-G169)),"")</f>
        <v/>
      </c>
      <c r="I169" s="41" t="str">
        <f aca="false">IF(AND(A169&lt;&gt;"",D169&gt;0.005),MIN(SUMIF(LumpN,A169,LumpAmt),D169-G169-H169),"")</f>
        <v/>
      </c>
      <c r="J169" s="42" t="str">
        <f aca="false">IF(AND(A169&lt;&gt;"",D169&gt;0.005),E169+H169+I169,"")</f>
        <v/>
      </c>
      <c r="K169" s="42" t="str">
        <f aca="false">IF(AND(A169&lt;&gt;"",D169&gt;0.005),ROUND(D169-G169-H169-I169,2),"")</f>
        <v/>
      </c>
      <c r="L169" s="41" t="str">
        <f aca="false">IF(AND(A169&lt;&gt;"",D169&gt;0.005),L168+F169,"")</f>
        <v/>
      </c>
      <c r="M169" s="41" t="str">
        <f aca="false">IF(AND(A169&lt;&gt;"",D169&gt;0.005),M168+G169+H169+I169,"")</f>
        <v/>
      </c>
      <c r="N169" s="43" t="str">
        <f aca="false">IF(B169="","",YEAR(B169))</f>
        <v/>
      </c>
      <c r="O169" s="44" t="n">
        <f aca="false">IF(AND(A169&lt;&gt;"",D169&gt;0.005),J169,0)</f>
        <v>0</v>
      </c>
      <c r="P169" s="44" t="n">
        <f aca="false">R168</f>
        <v>0</v>
      </c>
      <c r="Q169" s="44" t="n">
        <f aca="false">IF(AND(P169&gt;0.005,162&lt;=NPer),ROUND(P169*RP,2),0)</f>
        <v>0</v>
      </c>
      <c r="R169" s="44" t="n">
        <f aca="false">IF(AND(P169&gt;0.005,162&lt;=NPer),ROUND(P169-IF(162&lt;=Grace,0,IF(162=NPer,P169,IF(Method="Equal principal (reducing payments)",MIN(ROUND(EqPrin,2),P169),MIN(ROUND(Annuity-Q169,2),P169)))),2),0)</f>
        <v>0</v>
      </c>
    </row>
    <row r="170" customFormat="false" ht="15" hidden="false" customHeight="false" outlineLevel="0" collapsed="false">
      <c r="A170" s="38" t="str">
        <f aca="false">IF(AND(N(K169)&gt;0.005,A169&lt;NPer),A169+1,"")</f>
        <v/>
      </c>
      <c r="B170" s="39" t="str">
        <f aca="false">IF(A170="","",EDATE(Disb,A170*MPP))</f>
        <v/>
      </c>
      <c r="C170" s="40" t="str">
        <f aca="false">IF(A170="","",IF(A170&lt;=Grace,"Grace","Repayment"))</f>
        <v/>
      </c>
      <c r="D170" s="41" t="str">
        <f aca="false">IF(A170="","",K169)</f>
        <v/>
      </c>
      <c r="E170" s="41" t="str">
        <f aca="false">IF(AND(A170&lt;&gt;"",D170&gt;0.005),F170+G170,"")</f>
        <v/>
      </c>
      <c r="F170" s="41" t="str">
        <f aca="false">IF(AND(A170&lt;&gt;"",D170&gt;0.005),ROUND(D170*RP,2),"")</f>
        <v/>
      </c>
      <c r="G170" s="41" t="str">
        <f aca="false">IF(AND(A170&lt;&gt;"",D170&gt;0.005),IF(A170&lt;=Grace,0,IF(A170=NPer,D170,IF(Method="Equal principal (reducing payments)",MIN(ROUND(EqPrin,2),D170),MIN(ROUND(Annuity-F170,2),D170)))),"")</f>
        <v/>
      </c>
      <c r="H170" s="41" t="str">
        <f aca="false">IF(AND(A170&lt;&gt;"",D170&gt;0.005),IF(A170&lt;=Grace,0,MIN(Extra,D170-G170)),"")</f>
        <v/>
      </c>
      <c r="I170" s="41" t="str">
        <f aca="false">IF(AND(A170&lt;&gt;"",D170&gt;0.005),MIN(SUMIF(LumpN,A170,LumpAmt),D170-G170-H170),"")</f>
        <v/>
      </c>
      <c r="J170" s="42" t="str">
        <f aca="false">IF(AND(A170&lt;&gt;"",D170&gt;0.005),E170+H170+I170,"")</f>
        <v/>
      </c>
      <c r="K170" s="42" t="str">
        <f aca="false">IF(AND(A170&lt;&gt;"",D170&gt;0.005),ROUND(D170-G170-H170-I170,2),"")</f>
        <v/>
      </c>
      <c r="L170" s="41" t="str">
        <f aca="false">IF(AND(A170&lt;&gt;"",D170&gt;0.005),L169+F170,"")</f>
        <v/>
      </c>
      <c r="M170" s="41" t="str">
        <f aca="false">IF(AND(A170&lt;&gt;"",D170&gt;0.005),M169+G170+H170+I170,"")</f>
        <v/>
      </c>
      <c r="N170" s="43" t="str">
        <f aca="false">IF(B170="","",YEAR(B170))</f>
        <v/>
      </c>
      <c r="O170" s="44" t="n">
        <f aca="false">IF(AND(A170&lt;&gt;"",D170&gt;0.005),J170,0)</f>
        <v>0</v>
      </c>
      <c r="P170" s="44" t="n">
        <f aca="false">R169</f>
        <v>0</v>
      </c>
      <c r="Q170" s="44" t="n">
        <f aca="false">IF(AND(P170&gt;0.005,163&lt;=NPer),ROUND(P170*RP,2),0)</f>
        <v>0</v>
      </c>
      <c r="R170" s="44" t="n">
        <f aca="false">IF(AND(P170&gt;0.005,163&lt;=NPer),ROUND(P170-IF(163&lt;=Grace,0,IF(163=NPer,P170,IF(Method="Equal principal (reducing payments)",MIN(ROUND(EqPrin,2),P170),MIN(ROUND(Annuity-Q170,2),P170)))),2),0)</f>
        <v>0</v>
      </c>
    </row>
    <row r="171" customFormat="false" ht="15" hidden="false" customHeight="false" outlineLevel="0" collapsed="false">
      <c r="A171" s="38" t="str">
        <f aca="false">IF(AND(N(K170)&gt;0.005,A170&lt;NPer),A170+1,"")</f>
        <v/>
      </c>
      <c r="B171" s="39" t="str">
        <f aca="false">IF(A171="","",EDATE(Disb,A171*MPP))</f>
        <v/>
      </c>
      <c r="C171" s="40" t="str">
        <f aca="false">IF(A171="","",IF(A171&lt;=Grace,"Grace","Repayment"))</f>
        <v/>
      </c>
      <c r="D171" s="41" t="str">
        <f aca="false">IF(A171="","",K170)</f>
        <v/>
      </c>
      <c r="E171" s="41" t="str">
        <f aca="false">IF(AND(A171&lt;&gt;"",D171&gt;0.005),F171+G171,"")</f>
        <v/>
      </c>
      <c r="F171" s="41" t="str">
        <f aca="false">IF(AND(A171&lt;&gt;"",D171&gt;0.005),ROUND(D171*RP,2),"")</f>
        <v/>
      </c>
      <c r="G171" s="41" t="str">
        <f aca="false">IF(AND(A171&lt;&gt;"",D171&gt;0.005),IF(A171&lt;=Grace,0,IF(A171=NPer,D171,IF(Method="Equal principal (reducing payments)",MIN(ROUND(EqPrin,2),D171),MIN(ROUND(Annuity-F171,2),D171)))),"")</f>
        <v/>
      </c>
      <c r="H171" s="41" t="str">
        <f aca="false">IF(AND(A171&lt;&gt;"",D171&gt;0.005),IF(A171&lt;=Grace,0,MIN(Extra,D171-G171)),"")</f>
        <v/>
      </c>
      <c r="I171" s="41" t="str">
        <f aca="false">IF(AND(A171&lt;&gt;"",D171&gt;0.005),MIN(SUMIF(LumpN,A171,LumpAmt),D171-G171-H171),"")</f>
        <v/>
      </c>
      <c r="J171" s="42" t="str">
        <f aca="false">IF(AND(A171&lt;&gt;"",D171&gt;0.005),E171+H171+I171,"")</f>
        <v/>
      </c>
      <c r="K171" s="42" t="str">
        <f aca="false">IF(AND(A171&lt;&gt;"",D171&gt;0.005),ROUND(D171-G171-H171-I171,2),"")</f>
        <v/>
      </c>
      <c r="L171" s="41" t="str">
        <f aca="false">IF(AND(A171&lt;&gt;"",D171&gt;0.005),L170+F171,"")</f>
        <v/>
      </c>
      <c r="M171" s="41" t="str">
        <f aca="false">IF(AND(A171&lt;&gt;"",D171&gt;0.005),M170+G171+H171+I171,"")</f>
        <v/>
      </c>
      <c r="N171" s="43" t="str">
        <f aca="false">IF(B171="","",YEAR(B171))</f>
        <v/>
      </c>
      <c r="O171" s="44" t="n">
        <f aca="false">IF(AND(A171&lt;&gt;"",D171&gt;0.005),J171,0)</f>
        <v>0</v>
      </c>
      <c r="P171" s="44" t="n">
        <f aca="false">R170</f>
        <v>0</v>
      </c>
      <c r="Q171" s="44" t="n">
        <f aca="false">IF(AND(P171&gt;0.005,164&lt;=NPer),ROUND(P171*RP,2),0)</f>
        <v>0</v>
      </c>
      <c r="R171" s="44" t="n">
        <f aca="false">IF(AND(P171&gt;0.005,164&lt;=NPer),ROUND(P171-IF(164&lt;=Grace,0,IF(164=NPer,P171,IF(Method="Equal principal (reducing payments)",MIN(ROUND(EqPrin,2),P171),MIN(ROUND(Annuity-Q171,2),P171)))),2),0)</f>
        <v>0</v>
      </c>
    </row>
    <row r="172" customFormat="false" ht="15" hidden="false" customHeight="false" outlineLevel="0" collapsed="false">
      <c r="A172" s="38" t="str">
        <f aca="false">IF(AND(N(K171)&gt;0.005,A171&lt;NPer),A171+1,"")</f>
        <v/>
      </c>
      <c r="B172" s="39" t="str">
        <f aca="false">IF(A172="","",EDATE(Disb,A172*MPP))</f>
        <v/>
      </c>
      <c r="C172" s="40" t="str">
        <f aca="false">IF(A172="","",IF(A172&lt;=Grace,"Grace","Repayment"))</f>
        <v/>
      </c>
      <c r="D172" s="41" t="str">
        <f aca="false">IF(A172="","",K171)</f>
        <v/>
      </c>
      <c r="E172" s="41" t="str">
        <f aca="false">IF(AND(A172&lt;&gt;"",D172&gt;0.005),F172+G172,"")</f>
        <v/>
      </c>
      <c r="F172" s="41" t="str">
        <f aca="false">IF(AND(A172&lt;&gt;"",D172&gt;0.005),ROUND(D172*RP,2),"")</f>
        <v/>
      </c>
      <c r="G172" s="41" t="str">
        <f aca="false">IF(AND(A172&lt;&gt;"",D172&gt;0.005),IF(A172&lt;=Grace,0,IF(A172=NPer,D172,IF(Method="Equal principal (reducing payments)",MIN(ROUND(EqPrin,2),D172),MIN(ROUND(Annuity-F172,2),D172)))),"")</f>
        <v/>
      </c>
      <c r="H172" s="41" t="str">
        <f aca="false">IF(AND(A172&lt;&gt;"",D172&gt;0.005),IF(A172&lt;=Grace,0,MIN(Extra,D172-G172)),"")</f>
        <v/>
      </c>
      <c r="I172" s="41" t="str">
        <f aca="false">IF(AND(A172&lt;&gt;"",D172&gt;0.005),MIN(SUMIF(LumpN,A172,LumpAmt),D172-G172-H172),"")</f>
        <v/>
      </c>
      <c r="J172" s="42" t="str">
        <f aca="false">IF(AND(A172&lt;&gt;"",D172&gt;0.005),E172+H172+I172,"")</f>
        <v/>
      </c>
      <c r="K172" s="42" t="str">
        <f aca="false">IF(AND(A172&lt;&gt;"",D172&gt;0.005),ROUND(D172-G172-H172-I172,2),"")</f>
        <v/>
      </c>
      <c r="L172" s="41" t="str">
        <f aca="false">IF(AND(A172&lt;&gt;"",D172&gt;0.005),L171+F172,"")</f>
        <v/>
      </c>
      <c r="M172" s="41" t="str">
        <f aca="false">IF(AND(A172&lt;&gt;"",D172&gt;0.005),M171+G172+H172+I172,"")</f>
        <v/>
      </c>
      <c r="N172" s="43" t="str">
        <f aca="false">IF(B172="","",YEAR(B172))</f>
        <v/>
      </c>
      <c r="O172" s="44" t="n">
        <f aca="false">IF(AND(A172&lt;&gt;"",D172&gt;0.005),J172,0)</f>
        <v>0</v>
      </c>
      <c r="P172" s="44" t="n">
        <f aca="false">R171</f>
        <v>0</v>
      </c>
      <c r="Q172" s="44" t="n">
        <f aca="false">IF(AND(P172&gt;0.005,165&lt;=NPer),ROUND(P172*RP,2),0)</f>
        <v>0</v>
      </c>
      <c r="R172" s="44" t="n">
        <f aca="false">IF(AND(P172&gt;0.005,165&lt;=NPer),ROUND(P172-IF(165&lt;=Grace,0,IF(165=NPer,P172,IF(Method="Equal principal (reducing payments)",MIN(ROUND(EqPrin,2),P172),MIN(ROUND(Annuity-Q172,2),P172)))),2),0)</f>
        <v>0</v>
      </c>
    </row>
    <row r="173" customFormat="false" ht="15" hidden="false" customHeight="false" outlineLevel="0" collapsed="false">
      <c r="A173" s="38" t="str">
        <f aca="false">IF(AND(N(K172)&gt;0.005,A172&lt;NPer),A172+1,"")</f>
        <v/>
      </c>
      <c r="B173" s="39" t="str">
        <f aca="false">IF(A173="","",EDATE(Disb,A173*MPP))</f>
        <v/>
      </c>
      <c r="C173" s="40" t="str">
        <f aca="false">IF(A173="","",IF(A173&lt;=Grace,"Grace","Repayment"))</f>
        <v/>
      </c>
      <c r="D173" s="41" t="str">
        <f aca="false">IF(A173="","",K172)</f>
        <v/>
      </c>
      <c r="E173" s="41" t="str">
        <f aca="false">IF(AND(A173&lt;&gt;"",D173&gt;0.005),F173+G173,"")</f>
        <v/>
      </c>
      <c r="F173" s="41" t="str">
        <f aca="false">IF(AND(A173&lt;&gt;"",D173&gt;0.005),ROUND(D173*RP,2),"")</f>
        <v/>
      </c>
      <c r="G173" s="41" t="str">
        <f aca="false">IF(AND(A173&lt;&gt;"",D173&gt;0.005),IF(A173&lt;=Grace,0,IF(A173=NPer,D173,IF(Method="Equal principal (reducing payments)",MIN(ROUND(EqPrin,2),D173),MIN(ROUND(Annuity-F173,2),D173)))),"")</f>
        <v/>
      </c>
      <c r="H173" s="41" t="str">
        <f aca="false">IF(AND(A173&lt;&gt;"",D173&gt;0.005),IF(A173&lt;=Grace,0,MIN(Extra,D173-G173)),"")</f>
        <v/>
      </c>
      <c r="I173" s="41" t="str">
        <f aca="false">IF(AND(A173&lt;&gt;"",D173&gt;0.005),MIN(SUMIF(LumpN,A173,LumpAmt),D173-G173-H173),"")</f>
        <v/>
      </c>
      <c r="J173" s="42" t="str">
        <f aca="false">IF(AND(A173&lt;&gt;"",D173&gt;0.005),E173+H173+I173,"")</f>
        <v/>
      </c>
      <c r="K173" s="42" t="str">
        <f aca="false">IF(AND(A173&lt;&gt;"",D173&gt;0.005),ROUND(D173-G173-H173-I173,2),"")</f>
        <v/>
      </c>
      <c r="L173" s="41" t="str">
        <f aca="false">IF(AND(A173&lt;&gt;"",D173&gt;0.005),L172+F173,"")</f>
        <v/>
      </c>
      <c r="M173" s="41" t="str">
        <f aca="false">IF(AND(A173&lt;&gt;"",D173&gt;0.005),M172+G173+H173+I173,"")</f>
        <v/>
      </c>
      <c r="N173" s="43" t="str">
        <f aca="false">IF(B173="","",YEAR(B173))</f>
        <v/>
      </c>
      <c r="O173" s="44" t="n">
        <f aca="false">IF(AND(A173&lt;&gt;"",D173&gt;0.005),J173,0)</f>
        <v>0</v>
      </c>
      <c r="P173" s="44" t="n">
        <f aca="false">R172</f>
        <v>0</v>
      </c>
      <c r="Q173" s="44" t="n">
        <f aca="false">IF(AND(P173&gt;0.005,166&lt;=NPer),ROUND(P173*RP,2),0)</f>
        <v>0</v>
      </c>
      <c r="R173" s="44" t="n">
        <f aca="false">IF(AND(P173&gt;0.005,166&lt;=NPer),ROUND(P173-IF(166&lt;=Grace,0,IF(166=NPer,P173,IF(Method="Equal principal (reducing payments)",MIN(ROUND(EqPrin,2),P173),MIN(ROUND(Annuity-Q173,2),P173)))),2),0)</f>
        <v>0</v>
      </c>
    </row>
    <row r="174" customFormat="false" ht="15" hidden="false" customHeight="false" outlineLevel="0" collapsed="false">
      <c r="A174" s="38" t="str">
        <f aca="false">IF(AND(N(K173)&gt;0.005,A173&lt;NPer),A173+1,"")</f>
        <v/>
      </c>
      <c r="B174" s="39" t="str">
        <f aca="false">IF(A174="","",EDATE(Disb,A174*MPP))</f>
        <v/>
      </c>
      <c r="C174" s="40" t="str">
        <f aca="false">IF(A174="","",IF(A174&lt;=Grace,"Grace","Repayment"))</f>
        <v/>
      </c>
      <c r="D174" s="41" t="str">
        <f aca="false">IF(A174="","",K173)</f>
        <v/>
      </c>
      <c r="E174" s="41" t="str">
        <f aca="false">IF(AND(A174&lt;&gt;"",D174&gt;0.005),F174+G174,"")</f>
        <v/>
      </c>
      <c r="F174" s="41" t="str">
        <f aca="false">IF(AND(A174&lt;&gt;"",D174&gt;0.005),ROUND(D174*RP,2),"")</f>
        <v/>
      </c>
      <c r="G174" s="41" t="str">
        <f aca="false">IF(AND(A174&lt;&gt;"",D174&gt;0.005),IF(A174&lt;=Grace,0,IF(A174=NPer,D174,IF(Method="Equal principal (reducing payments)",MIN(ROUND(EqPrin,2),D174),MIN(ROUND(Annuity-F174,2),D174)))),"")</f>
        <v/>
      </c>
      <c r="H174" s="41" t="str">
        <f aca="false">IF(AND(A174&lt;&gt;"",D174&gt;0.005),IF(A174&lt;=Grace,0,MIN(Extra,D174-G174)),"")</f>
        <v/>
      </c>
      <c r="I174" s="41" t="str">
        <f aca="false">IF(AND(A174&lt;&gt;"",D174&gt;0.005),MIN(SUMIF(LumpN,A174,LumpAmt),D174-G174-H174),"")</f>
        <v/>
      </c>
      <c r="J174" s="42" t="str">
        <f aca="false">IF(AND(A174&lt;&gt;"",D174&gt;0.005),E174+H174+I174,"")</f>
        <v/>
      </c>
      <c r="K174" s="42" t="str">
        <f aca="false">IF(AND(A174&lt;&gt;"",D174&gt;0.005),ROUND(D174-G174-H174-I174,2),"")</f>
        <v/>
      </c>
      <c r="L174" s="41" t="str">
        <f aca="false">IF(AND(A174&lt;&gt;"",D174&gt;0.005),L173+F174,"")</f>
        <v/>
      </c>
      <c r="M174" s="41" t="str">
        <f aca="false">IF(AND(A174&lt;&gt;"",D174&gt;0.005),M173+G174+H174+I174,"")</f>
        <v/>
      </c>
      <c r="N174" s="43" t="str">
        <f aca="false">IF(B174="","",YEAR(B174))</f>
        <v/>
      </c>
      <c r="O174" s="44" t="n">
        <f aca="false">IF(AND(A174&lt;&gt;"",D174&gt;0.005),J174,0)</f>
        <v>0</v>
      </c>
      <c r="P174" s="44" t="n">
        <f aca="false">R173</f>
        <v>0</v>
      </c>
      <c r="Q174" s="44" t="n">
        <f aca="false">IF(AND(P174&gt;0.005,167&lt;=NPer),ROUND(P174*RP,2),0)</f>
        <v>0</v>
      </c>
      <c r="R174" s="44" t="n">
        <f aca="false">IF(AND(P174&gt;0.005,167&lt;=NPer),ROUND(P174-IF(167&lt;=Grace,0,IF(167=NPer,P174,IF(Method="Equal principal (reducing payments)",MIN(ROUND(EqPrin,2),P174),MIN(ROUND(Annuity-Q174,2),P174)))),2),0)</f>
        <v>0</v>
      </c>
    </row>
    <row r="175" customFormat="false" ht="15" hidden="false" customHeight="false" outlineLevel="0" collapsed="false">
      <c r="A175" s="38" t="str">
        <f aca="false">IF(AND(N(K174)&gt;0.005,A174&lt;NPer),A174+1,"")</f>
        <v/>
      </c>
      <c r="B175" s="39" t="str">
        <f aca="false">IF(A175="","",EDATE(Disb,A175*MPP))</f>
        <v/>
      </c>
      <c r="C175" s="40" t="str">
        <f aca="false">IF(A175="","",IF(A175&lt;=Grace,"Grace","Repayment"))</f>
        <v/>
      </c>
      <c r="D175" s="41" t="str">
        <f aca="false">IF(A175="","",K174)</f>
        <v/>
      </c>
      <c r="E175" s="41" t="str">
        <f aca="false">IF(AND(A175&lt;&gt;"",D175&gt;0.005),F175+G175,"")</f>
        <v/>
      </c>
      <c r="F175" s="41" t="str">
        <f aca="false">IF(AND(A175&lt;&gt;"",D175&gt;0.005),ROUND(D175*RP,2),"")</f>
        <v/>
      </c>
      <c r="G175" s="41" t="str">
        <f aca="false">IF(AND(A175&lt;&gt;"",D175&gt;0.005),IF(A175&lt;=Grace,0,IF(A175=NPer,D175,IF(Method="Equal principal (reducing payments)",MIN(ROUND(EqPrin,2),D175),MIN(ROUND(Annuity-F175,2),D175)))),"")</f>
        <v/>
      </c>
      <c r="H175" s="41" t="str">
        <f aca="false">IF(AND(A175&lt;&gt;"",D175&gt;0.005),IF(A175&lt;=Grace,0,MIN(Extra,D175-G175)),"")</f>
        <v/>
      </c>
      <c r="I175" s="41" t="str">
        <f aca="false">IF(AND(A175&lt;&gt;"",D175&gt;0.005),MIN(SUMIF(LumpN,A175,LumpAmt),D175-G175-H175),"")</f>
        <v/>
      </c>
      <c r="J175" s="42" t="str">
        <f aca="false">IF(AND(A175&lt;&gt;"",D175&gt;0.005),E175+H175+I175,"")</f>
        <v/>
      </c>
      <c r="K175" s="42" t="str">
        <f aca="false">IF(AND(A175&lt;&gt;"",D175&gt;0.005),ROUND(D175-G175-H175-I175,2),"")</f>
        <v/>
      </c>
      <c r="L175" s="41" t="str">
        <f aca="false">IF(AND(A175&lt;&gt;"",D175&gt;0.005),L174+F175,"")</f>
        <v/>
      </c>
      <c r="M175" s="41" t="str">
        <f aca="false">IF(AND(A175&lt;&gt;"",D175&gt;0.005),M174+G175+H175+I175,"")</f>
        <v/>
      </c>
      <c r="N175" s="43" t="str">
        <f aca="false">IF(B175="","",YEAR(B175))</f>
        <v/>
      </c>
      <c r="O175" s="44" t="n">
        <f aca="false">IF(AND(A175&lt;&gt;"",D175&gt;0.005),J175,0)</f>
        <v>0</v>
      </c>
      <c r="P175" s="44" t="n">
        <f aca="false">R174</f>
        <v>0</v>
      </c>
      <c r="Q175" s="44" t="n">
        <f aca="false">IF(AND(P175&gt;0.005,168&lt;=NPer),ROUND(P175*RP,2),0)</f>
        <v>0</v>
      </c>
      <c r="R175" s="44" t="n">
        <f aca="false">IF(AND(P175&gt;0.005,168&lt;=NPer),ROUND(P175-IF(168&lt;=Grace,0,IF(168=NPer,P175,IF(Method="Equal principal (reducing payments)",MIN(ROUND(EqPrin,2),P175),MIN(ROUND(Annuity-Q175,2),P175)))),2),0)</f>
        <v>0</v>
      </c>
    </row>
    <row r="176" customFormat="false" ht="15" hidden="false" customHeight="false" outlineLevel="0" collapsed="false">
      <c r="A176" s="38" t="str">
        <f aca="false">IF(AND(N(K175)&gt;0.005,A175&lt;NPer),A175+1,"")</f>
        <v/>
      </c>
      <c r="B176" s="39" t="str">
        <f aca="false">IF(A176="","",EDATE(Disb,A176*MPP))</f>
        <v/>
      </c>
      <c r="C176" s="40" t="str">
        <f aca="false">IF(A176="","",IF(A176&lt;=Grace,"Grace","Repayment"))</f>
        <v/>
      </c>
      <c r="D176" s="41" t="str">
        <f aca="false">IF(A176="","",K175)</f>
        <v/>
      </c>
      <c r="E176" s="41" t="str">
        <f aca="false">IF(AND(A176&lt;&gt;"",D176&gt;0.005),F176+G176,"")</f>
        <v/>
      </c>
      <c r="F176" s="41" t="str">
        <f aca="false">IF(AND(A176&lt;&gt;"",D176&gt;0.005),ROUND(D176*RP,2),"")</f>
        <v/>
      </c>
      <c r="G176" s="41" t="str">
        <f aca="false">IF(AND(A176&lt;&gt;"",D176&gt;0.005),IF(A176&lt;=Grace,0,IF(A176=NPer,D176,IF(Method="Equal principal (reducing payments)",MIN(ROUND(EqPrin,2),D176),MIN(ROUND(Annuity-F176,2),D176)))),"")</f>
        <v/>
      </c>
      <c r="H176" s="41" t="str">
        <f aca="false">IF(AND(A176&lt;&gt;"",D176&gt;0.005),IF(A176&lt;=Grace,0,MIN(Extra,D176-G176)),"")</f>
        <v/>
      </c>
      <c r="I176" s="41" t="str">
        <f aca="false">IF(AND(A176&lt;&gt;"",D176&gt;0.005),MIN(SUMIF(LumpN,A176,LumpAmt),D176-G176-H176),"")</f>
        <v/>
      </c>
      <c r="J176" s="42" t="str">
        <f aca="false">IF(AND(A176&lt;&gt;"",D176&gt;0.005),E176+H176+I176,"")</f>
        <v/>
      </c>
      <c r="K176" s="42" t="str">
        <f aca="false">IF(AND(A176&lt;&gt;"",D176&gt;0.005),ROUND(D176-G176-H176-I176,2),"")</f>
        <v/>
      </c>
      <c r="L176" s="41" t="str">
        <f aca="false">IF(AND(A176&lt;&gt;"",D176&gt;0.005),L175+F176,"")</f>
        <v/>
      </c>
      <c r="M176" s="41" t="str">
        <f aca="false">IF(AND(A176&lt;&gt;"",D176&gt;0.005),M175+G176+H176+I176,"")</f>
        <v/>
      </c>
      <c r="N176" s="43" t="str">
        <f aca="false">IF(B176="","",YEAR(B176))</f>
        <v/>
      </c>
      <c r="O176" s="44" t="n">
        <f aca="false">IF(AND(A176&lt;&gt;"",D176&gt;0.005),J176,0)</f>
        <v>0</v>
      </c>
      <c r="P176" s="44" t="n">
        <f aca="false">R175</f>
        <v>0</v>
      </c>
      <c r="Q176" s="44" t="n">
        <f aca="false">IF(AND(P176&gt;0.005,169&lt;=NPer),ROUND(P176*RP,2),0)</f>
        <v>0</v>
      </c>
      <c r="R176" s="44" t="n">
        <f aca="false">IF(AND(P176&gt;0.005,169&lt;=NPer),ROUND(P176-IF(169&lt;=Grace,0,IF(169=NPer,P176,IF(Method="Equal principal (reducing payments)",MIN(ROUND(EqPrin,2),P176),MIN(ROUND(Annuity-Q176,2),P176)))),2),0)</f>
        <v>0</v>
      </c>
    </row>
    <row r="177" customFormat="false" ht="15" hidden="false" customHeight="false" outlineLevel="0" collapsed="false">
      <c r="A177" s="38" t="str">
        <f aca="false">IF(AND(N(K176)&gt;0.005,A176&lt;NPer),A176+1,"")</f>
        <v/>
      </c>
      <c r="B177" s="39" t="str">
        <f aca="false">IF(A177="","",EDATE(Disb,A177*MPP))</f>
        <v/>
      </c>
      <c r="C177" s="40" t="str">
        <f aca="false">IF(A177="","",IF(A177&lt;=Grace,"Grace","Repayment"))</f>
        <v/>
      </c>
      <c r="D177" s="41" t="str">
        <f aca="false">IF(A177="","",K176)</f>
        <v/>
      </c>
      <c r="E177" s="41" t="str">
        <f aca="false">IF(AND(A177&lt;&gt;"",D177&gt;0.005),F177+G177,"")</f>
        <v/>
      </c>
      <c r="F177" s="41" t="str">
        <f aca="false">IF(AND(A177&lt;&gt;"",D177&gt;0.005),ROUND(D177*RP,2),"")</f>
        <v/>
      </c>
      <c r="G177" s="41" t="str">
        <f aca="false">IF(AND(A177&lt;&gt;"",D177&gt;0.005),IF(A177&lt;=Grace,0,IF(A177=NPer,D177,IF(Method="Equal principal (reducing payments)",MIN(ROUND(EqPrin,2),D177),MIN(ROUND(Annuity-F177,2),D177)))),"")</f>
        <v/>
      </c>
      <c r="H177" s="41" t="str">
        <f aca="false">IF(AND(A177&lt;&gt;"",D177&gt;0.005),IF(A177&lt;=Grace,0,MIN(Extra,D177-G177)),"")</f>
        <v/>
      </c>
      <c r="I177" s="41" t="str">
        <f aca="false">IF(AND(A177&lt;&gt;"",D177&gt;0.005),MIN(SUMIF(LumpN,A177,LumpAmt),D177-G177-H177),"")</f>
        <v/>
      </c>
      <c r="J177" s="42" t="str">
        <f aca="false">IF(AND(A177&lt;&gt;"",D177&gt;0.005),E177+H177+I177,"")</f>
        <v/>
      </c>
      <c r="K177" s="42" t="str">
        <f aca="false">IF(AND(A177&lt;&gt;"",D177&gt;0.005),ROUND(D177-G177-H177-I177,2),"")</f>
        <v/>
      </c>
      <c r="L177" s="41" t="str">
        <f aca="false">IF(AND(A177&lt;&gt;"",D177&gt;0.005),L176+F177,"")</f>
        <v/>
      </c>
      <c r="M177" s="41" t="str">
        <f aca="false">IF(AND(A177&lt;&gt;"",D177&gt;0.005),M176+G177+H177+I177,"")</f>
        <v/>
      </c>
      <c r="N177" s="43" t="str">
        <f aca="false">IF(B177="","",YEAR(B177))</f>
        <v/>
      </c>
      <c r="O177" s="44" t="n">
        <f aca="false">IF(AND(A177&lt;&gt;"",D177&gt;0.005),J177,0)</f>
        <v>0</v>
      </c>
      <c r="P177" s="44" t="n">
        <f aca="false">R176</f>
        <v>0</v>
      </c>
      <c r="Q177" s="44" t="n">
        <f aca="false">IF(AND(P177&gt;0.005,170&lt;=NPer),ROUND(P177*RP,2),0)</f>
        <v>0</v>
      </c>
      <c r="R177" s="44" t="n">
        <f aca="false">IF(AND(P177&gt;0.005,170&lt;=NPer),ROUND(P177-IF(170&lt;=Grace,0,IF(170=NPer,P177,IF(Method="Equal principal (reducing payments)",MIN(ROUND(EqPrin,2),P177),MIN(ROUND(Annuity-Q177,2),P177)))),2),0)</f>
        <v>0</v>
      </c>
    </row>
    <row r="178" customFormat="false" ht="15" hidden="false" customHeight="false" outlineLevel="0" collapsed="false">
      <c r="A178" s="38" t="str">
        <f aca="false">IF(AND(N(K177)&gt;0.005,A177&lt;NPer),A177+1,"")</f>
        <v/>
      </c>
      <c r="B178" s="39" t="str">
        <f aca="false">IF(A178="","",EDATE(Disb,A178*MPP))</f>
        <v/>
      </c>
      <c r="C178" s="40" t="str">
        <f aca="false">IF(A178="","",IF(A178&lt;=Grace,"Grace","Repayment"))</f>
        <v/>
      </c>
      <c r="D178" s="41" t="str">
        <f aca="false">IF(A178="","",K177)</f>
        <v/>
      </c>
      <c r="E178" s="41" t="str">
        <f aca="false">IF(AND(A178&lt;&gt;"",D178&gt;0.005),F178+G178,"")</f>
        <v/>
      </c>
      <c r="F178" s="41" t="str">
        <f aca="false">IF(AND(A178&lt;&gt;"",D178&gt;0.005),ROUND(D178*RP,2),"")</f>
        <v/>
      </c>
      <c r="G178" s="41" t="str">
        <f aca="false">IF(AND(A178&lt;&gt;"",D178&gt;0.005),IF(A178&lt;=Grace,0,IF(A178=NPer,D178,IF(Method="Equal principal (reducing payments)",MIN(ROUND(EqPrin,2),D178),MIN(ROUND(Annuity-F178,2),D178)))),"")</f>
        <v/>
      </c>
      <c r="H178" s="41" t="str">
        <f aca="false">IF(AND(A178&lt;&gt;"",D178&gt;0.005),IF(A178&lt;=Grace,0,MIN(Extra,D178-G178)),"")</f>
        <v/>
      </c>
      <c r="I178" s="41" t="str">
        <f aca="false">IF(AND(A178&lt;&gt;"",D178&gt;0.005),MIN(SUMIF(LumpN,A178,LumpAmt),D178-G178-H178),"")</f>
        <v/>
      </c>
      <c r="J178" s="42" t="str">
        <f aca="false">IF(AND(A178&lt;&gt;"",D178&gt;0.005),E178+H178+I178,"")</f>
        <v/>
      </c>
      <c r="K178" s="42" t="str">
        <f aca="false">IF(AND(A178&lt;&gt;"",D178&gt;0.005),ROUND(D178-G178-H178-I178,2),"")</f>
        <v/>
      </c>
      <c r="L178" s="41" t="str">
        <f aca="false">IF(AND(A178&lt;&gt;"",D178&gt;0.005),L177+F178,"")</f>
        <v/>
      </c>
      <c r="M178" s="41" t="str">
        <f aca="false">IF(AND(A178&lt;&gt;"",D178&gt;0.005),M177+G178+H178+I178,"")</f>
        <v/>
      </c>
      <c r="N178" s="43" t="str">
        <f aca="false">IF(B178="","",YEAR(B178))</f>
        <v/>
      </c>
      <c r="O178" s="44" t="n">
        <f aca="false">IF(AND(A178&lt;&gt;"",D178&gt;0.005),J178,0)</f>
        <v>0</v>
      </c>
      <c r="P178" s="44" t="n">
        <f aca="false">R177</f>
        <v>0</v>
      </c>
      <c r="Q178" s="44" t="n">
        <f aca="false">IF(AND(P178&gt;0.005,171&lt;=NPer),ROUND(P178*RP,2),0)</f>
        <v>0</v>
      </c>
      <c r="R178" s="44" t="n">
        <f aca="false">IF(AND(P178&gt;0.005,171&lt;=NPer),ROUND(P178-IF(171&lt;=Grace,0,IF(171=NPer,P178,IF(Method="Equal principal (reducing payments)",MIN(ROUND(EqPrin,2),P178),MIN(ROUND(Annuity-Q178,2),P178)))),2),0)</f>
        <v>0</v>
      </c>
    </row>
    <row r="179" customFormat="false" ht="15" hidden="false" customHeight="false" outlineLevel="0" collapsed="false">
      <c r="A179" s="38" t="str">
        <f aca="false">IF(AND(N(K178)&gt;0.005,A178&lt;NPer),A178+1,"")</f>
        <v/>
      </c>
      <c r="B179" s="39" t="str">
        <f aca="false">IF(A179="","",EDATE(Disb,A179*MPP))</f>
        <v/>
      </c>
      <c r="C179" s="40" t="str">
        <f aca="false">IF(A179="","",IF(A179&lt;=Grace,"Grace","Repayment"))</f>
        <v/>
      </c>
      <c r="D179" s="41" t="str">
        <f aca="false">IF(A179="","",K178)</f>
        <v/>
      </c>
      <c r="E179" s="41" t="str">
        <f aca="false">IF(AND(A179&lt;&gt;"",D179&gt;0.005),F179+G179,"")</f>
        <v/>
      </c>
      <c r="F179" s="41" t="str">
        <f aca="false">IF(AND(A179&lt;&gt;"",D179&gt;0.005),ROUND(D179*RP,2),"")</f>
        <v/>
      </c>
      <c r="G179" s="41" t="str">
        <f aca="false">IF(AND(A179&lt;&gt;"",D179&gt;0.005),IF(A179&lt;=Grace,0,IF(A179=NPer,D179,IF(Method="Equal principal (reducing payments)",MIN(ROUND(EqPrin,2),D179),MIN(ROUND(Annuity-F179,2),D179)))),"")</f>
        <v/>
      </c>
      <c r="H179" s="41" t="str">
        <f aca="false">IF(AND(A179&lt;&gt;"",D179&gt;0.005),IF(A179&lt;=Grace,0,MIN(Extra,D179-G179)),"")</f>
        <v/>
      </c>
      <c r="I179" s="41" t="str">
        <f aca="false">IF(AND(A179&lt;&gt;"",D179&gt;0.005),MIN(SUMIF(LumpN,A179,LumpAmt),D179-G179-H179),"")</f>
        <v/>
      </c>
      <c r="J179" s="42" t="str">
        <f aca="false">IF(AND(A179&lt;&gt;"",D179&gt;0.005),E179+H179+I179,"")</f>
        <v/>
      </c>
      <c r="K179" s="42" t="str">
        <f aca="false">IF(AND(A179&lt;&gt;"",D179&gt;0.005),ROUND(D179-G179-H179-I179,2),"")</f>
        <v/>
      </c>
      <c r="L179" s="41" t="str">
        <f aca="false">IF(AND(A179&lt;&gt;"",D179&gt;0.005),L178+F179,"")</f>
        <v/>
      </c>
      <c r="M179" s="41" t="str">
        <f aca="false">IF(AND(A179&lt;&gt;"",D179&gt;0.005),M178+G179+H179+I179,"")</f>
        <v/>
      </c>
      <c r="N179" s="43" t="str">
        <f aca="false">IF(B179="","",YEAR(B179))</f>
        <v/>
      </c>
      <c r="O179" s="44" t="n">
        <f aca="false">IF(AND(A179&lt;&gt;"",D179&gt;0.005),J179,0)</f>
        <v>0</v>
      </c>
      <c r="P179" s="44" t="n">
        <f aca="false">R178</f>
        <v>0</v>
      </c>
      <c r="Q179" s="44" t="n">
        <f aca="false">IF(AND(P179&gt;0.005,172&lt;=NPer),ROUND(P179*RP,2),0)</f>
        <v>0</v>
      </c>
      <c r="R179" s="44" t="n">
        <f aca="false">IF(AND(P179&gt;0.005,172&lt;=NPer),ROUND(P179-IF(172&lt;=Grace,0,IF(172=NPer,P179,IF(Method="Equal principal (reducing payments)",MIN(ROUND(EqPrin,2),P179),MIN(ROUND(Annuity-Q179,2),P179)))),2),0)</f>
        <v>0</v>
      </c>
    </row>
    <row r="180" customFormat="false" ht="15" hidden="false" customHeight="false" outlineLevel="0" collapsed="false">
      <c r="A180" s="38" t="str">
        <f aca="false">IF(AND(N(K179)&gt;0.005,A179&lt;NPer),A179+1,"")</f>
        <v/>
      </c>
      <c r="B180" s="39" t="str">
        <f aca="false">IF(A180="","",EDATE(Disb,A180*MPP))</f>
        <v/>
      </c>
      <c r="C180" s="40" t="str">
        <f aca="false">IF(A180="","",IF(A180&lt;=Grace,"Grace","Repayment"))</f>
        <v/>
      </c>
      <c r="D180" s="41" t="str">
        <f aca="false">IF(A180="","",K179)</f>
        <v/>
      </c>
      <c r="E180" s="41" t="str">
        <f aca="false">IF(AND(A180&lt;&gt;"",D180&gt;0.005),F180+G180,"")</f>
        <v/>
      </c>
      <c r="F180" s="41" t="str">
        <f aca="false">IF(AND(A180&lt;&gt;"",D180&gt;0.005),ROUND(D180*RP,2),"")</f>
        <v/>
      </c>
      <c r="G180" s="41" t="str">
        <f aca="false">IF(AND(A180&lt;&gt;"",D180&gt;0.005),IF(A180&lt;=Grace,0,IF(A180=NPer,D180,IF(Method="Equal principal (reducing payments)",MIN(ROUND(EqPrin,2),D180),MIN(ROUND(Annuity-F180,2),D180)))),"")</f>
        <v/>
      </c>
      <c r="H180" s="41" t="str">
        <f aca="false">IF(AND(A180&lt;&gt;"",D180&gt;0.005),IF(A180&lt;=Grace,0,MIN(Extra,D180-G180)),"")</f>
        <v/>
      </c>
      <c r="I180" s="41" t="str">
        <f aca="false">IF(AND(A180&lt;&gt;"",D180&gt;0.005),MIN(SUMIF(LumpN,A180,LumpAmt),D180-G180-H180),"")</f>
        <v/>
      </c>
      <c r="J180" s="42" t="str">
        <f aca="false">IF(AND(A180&lt;&gt;"",D180&gt;0.005),E180+H180+I180,"")</f>
        <v/>
      </c>
      <c r="K180" s="42" t="str">
        <f aca="false">IF(AND(A180&lt;&gt;"",D180&gt;0.005),ROUND(D180-G180-H180-I180,2),"")</f>
        <v/>
      </c>
      <c r="L180" s="41" t="str">
        <f aca="false">IF(AND(A180&lt;&gt;"",D180&gt;0.005),L179+F180,"")</f>
        <v/>
      </c>
      <c r="M180" s="41" t="str">
        <f aca="false">IF(AND(A180&lt;&gt;"",D180&gt;0.005),M179+G180+H180+I180,"")</f>
        <v/>
      </c>
      <c r="N180" s="43" t="str">
        <f aca="false">IF(B180="","",YEAR(B180))</f>
        <v/>
      </c>
      <c r="O180" s="44" t="n">
        <f aca="false">IF(AND(A180&lt;&gt;"",D180&gt;0.005),J180,0)</f>
        <v>0</v>
      </c>
      <c r="P180" s="44" t="n">
        <f aca="false">R179</f>
        <v>0</v>
      </c>
      <c r="Q180" s="44" t="n">
        <f aca="false">IF(AND(P180&gt;0.005,173&lt;=NPer),ROUND(P180*RP,2),0)</f>
        <v>0</v>
      </c>
      <c r="R180" s="44" t="n">
        <f aca="false">IF(AND(P180&gt;0.005,173&lt;=NPer),ROUND(P180-IF(173&lt;=Grace,0,IF(173=NPer,P180,IF(Method="Equal principal (reducing payments)",MIN(ROUND(EqPrin,2),P180),MIN(ROUND(Annuity-Q180,2),P180)))),2),0)</f>
        <v>0</v>
      </c>
    </row>
    <row r="181" customFormat="false" ht="15" hidden="false" customHeight="false" outlineLevel="0" collapsed="false">
      <c r="A181" s="38" t="str">
        <f aca="false">IF(AND(N(K180)&gt;0.005,A180&lt;NPer),A180+1,"")</f>
        <v/>
      </c>
      <c r="B181" s="39" t="str">
        <f aca="false">IF(A181="","",EDATE(Disb,A181*MPP))</f>
        <v/>
      </c>
      <c r="C181" s="40" t="str">
        <f aca="false">IF(A181="","",IF(A181&lt;=Grace,"Grace","Repayment"))</f>
        <v/>
      </c>
      <c r="D181" s="41" t="str">
        <f aca="false">IF(A181="","",K180)</f>
        <v/>
      </c>
      <c r="E181" s="41" t="str">
        <f aca="false">IF(AND(A181&lt;&gt;"",D181&gt;0.005),F181+G181,"")</f>
        <v/>
      </c>
      <c r="F181" s="41" t="str">
        <f aca="false">IF(AND(A181&lt;&gt;"",D181&gt;0.005),ROUND(D181*RP,2),"")</f>
        <v/>
      </c>
      <c r="G181" s="41" t="str">
        <f aca="false">IF(AND(A181&lt;&gt;"",D181&gt;0.005),IF(A181&lt;=Grace,0,IF(A181=NPer,D181,IF(Method="Equal principal (reducing payments)",MIN(ROUND(EqPrin,2),D181),MIN(ROUND(Annuity-F181,2),D181)))),"")</f>
        <v/>
      </c>
      <c r="H181" s="41" t="str">
        <f aca="false">IF(AND(A181&lt;&gt;"",D181&gt;0.005),IF(A181&lt;=Grace,0,MIN(Extra,D181-G181)),"")</f>
        <v/>
      </c>
      <c r="I181" s="41" t="str">
        <f aca="false">IF(AND(A181&lt;&gt;"",D181&gt;0.005),MIN(SUMIF(LumpN,A181,LumpAmt),D181-G181-H181),"")</f>
        <v/>
      </c>
      <c r="J181" s="42" t="str">
        <f aca="false">IF(AND(A181&lt;&gt;"",D181&gt;0.005),E181+H181+I181,"")</f>
        <v/>
      </c>
      <c r="K181" s="42" t="str">
        <f aca="false">IF(AND(A181&lt;&gt;"",D181&gt;0.005),ROUND(D181-G181-H181-I181,2),"")</f>
        <v/>
      </c>
      <c r="L181" s="41" t="str">
        <f aca="false">IF(AND(A181&lt;&gt;"",D181&gt;0.005),L180+F181,"")</f>
        <v/>
      </c>
      <c r="M181" s="41" t="str">
        <f aca="false">IF(AND(A181&lt;&gt;"",D181&gt;0.005),M180+G181+H181+I181,"")</f>
        <v/>
      </c>
      <c r="N181" s="43" t="str">
        <f aca="false">IF(B181="","",YEAR(B181))</f>
        <v/>
      </c>
      <c r="O181" s="44" t="n">
        <f aca="false">IF(AND(A181&lt;&gt;"",D181&gt;0.005),J181,0)</f>
        <v>0</v>
      </c>
      <c r="P181" s="44" t="n">
        <f aca="false">R180</f>
        <v>0</v>
      </c>
      <c r="Q181" s="44" t="n">
        <f aca="false">IF(AND(P181&gt;0.005,174&lt;=NPer),ROUND(P181*RP,2),0)</f>
        <v>0</v>
      </c>
      <c r="R181" s="44" t="n">
        <f aca="false">IF(AND(P181&gt;0.005,174&lt;=NPer),ROUND(P181-IF(174&lt;=Grace,0,IF(174=NPer,P181,IF(Method="Equal principal (reducing payments)",MIN(ROUND(EqPrin,2),P181),MIN(ROUND(Annuity-Q181,2),P181)))),2),0)</f>
        <v>0</v>
      </c>
    </row>
    <row r="182" customFormat="false" ht="15" hidden="false" customHeight="false" outlineLevel="0" collapsed="false">
      <c r="A182" s="38" t="str">
        <f aca="false">IF(AND(N(K181)&gt;0.005,A181&lt;NPer),A181+1,"")</f>
        <v/>
      </c>
      <c r="B182" s="39" t="str">
        <f aca="false">IF(A182="","",EDATE(Disb,A182*MPP))</f>
        <v/>
      </c>
      <c r="C182" s="40" t="str">
        <f aca="false">IF(A182="","",IF(A182&lt;=Grace,"Grace","Repayment"))</f>
        <v/>
      </c>
      <c r="D182" s="41" t="str">
        <f aca="false">IF(A182="","",K181)</f>
        <v/>
      </c>
      <c r="E182" s="41" t="str">
        <f aca="false">IF(AND(A182&lt;&gt;"",D182&gt;0.005),F182+G182,"")</f>
        <v/>
      </c>
      <c r="F182" s="41" t="str">
        <f aca="false">IF(AND(A182&lt;&gt;"",D182&gt;0.005),ROUND(D182*RP,2),"")</f>
        <v/>
      </c>
      <c r="G182" s="41" t="str">
        <f aca="false">IF(AND(A182&lt;&gt;"",D182&gt;0.005),IF(A182&lt;=Grace,0,IF(A182=NPer,D182,IF(Method="Equal principal (reducing payments)",MIN(ROUND(EqPrin,2),D182),MIN(ROUND(Annuity-F182,2),D182)))),"")</f>
        <v/>
      </c>
      <c r="H182" s="41" t="str">
        <f aca="false">IF(AND(A182&lt;&gt;"",D182&gt;0.005),IF(A182&lt;=Grace,0,MIN(Extra,D182-G182)),"")</f>
        <v/>
      </c>
      <c r="I182" s="41" t="str">
        <f aca="false">IF(AND(A182&lt;&gt;"",D182&gt;0.005),MIN(SUMIF(LumpN,A182,LumpAmt),D182-G182-H182),"")</f>
        <v/>
      </c>
      <c r="J182" s="42" t="str">
        <f aca="false">IF(AND(A182&lt;&gt;"",D182&gt;0.005),E182+H182+I182,"")</f>
        <v/>
      </c>
      <c r="K182" s="42" t="str">
        <f aca="false">IF(AND(A182&lt;&gt;"",D182&gt;0.005),ROUND(D182-G182-H182-I182,2),"")</f>
        <v/>
      </c>
      <c r="L182" s="41" t="str">
        <f aca="false">IF(AND(A182&lt;&gt;"",D182&gt;0.005),L181+F182,"")</f>
        <v/>
      </c>
      <c r="M182" s="41" t="str">
        <f aca="false">IF(AND(A182&lt;&gt;"",D182&gt;0.005),M181+G182+H182+I182,"")</f>
        <v/>
      </c>
      <c r="N182" s="43" t="str">
        <f aca="false">IF(B182="","",YEAR(B182))</f>
        <v/>
      </c>
      <c r="O182" s="44" t="n">
        <f aca="false">IF(AND(A182&lt;&gt;"",D182&gt;0.005),J182,0)</f>
        <v>0</v>
      </c>
      <c r="P182" s="44" t="n">
        <f aca="false">R181</f>
        <v>0</v>
      </c>
      <c r="Q182" s="44" t="n">
        <f aca="false">IF(AND(P182&gt;0.005,175&lt;=NPer),ROUND(P182*RP,2),0)</f>
        <v>0</v>
      </c>
      <c r="R182" s="44" t="n">
        <f aca="false">IF(AND(P182&gt;0.005,175&lt;=NPer),ROUND(P182-IF(175&lt;=Grace,0,IF(175=NPer,P182,IF(Method="Equal principal (reducing payments)",MIN(ROUND(EqPrin,2),P182),MIN(ROUND(Annuity-Q182,2),P182)))),2),0)</f>
        <v>0</v>
      </c>
    </row>
    <row r="183" customFormat="false" ht="15" hidden="false" customHeight="false" outlineLevel="0" collapsed="false">
      <c r="A183" s="38" t="str">
        <f aca="false">IF(AND(N(K182)&gt;0.005,A182&lt;NPer),A182+1,"")</f>
        <v/>
      </c>
      <c r="B183" s="39" t="str">
        <f aca="false">IF(A183="","",EDATE(Disb,A183*MPP))</f>
        <v/>
      </c>
      <c r="C183" s="40" t="str">
        <f aca="false">IF(A183="","",IF(A183&lt;=Grace,"Grace","Repayment"))</f>
        <v/>
      </c>
      <c r="D183" s="41" t="str">
        <f aca="false">IF(A183="","",K182)</f>
        <v/>
      </c>
      <c r="E183" s="41" t="str">
        <f aca="false">IF(AND(A183&lt;&gt;"",D183&gt;0.005),F183+G183,"")</f>
        <v/>
      </c>
      <c r="F183" s="41" t="str">
        <f aca="false">IF(AND(A183&lt;&gt;"",D183&gt;0.005),ROUND(D183*RP,2),"")</f>
        <v/>
      </c>
      <c r="G183" s="41" t="str">
        <f aca="false">IF(AND(A183&lt;&gt;"",D183&gt;0.005),IF(A183&lt;=Grace,0,IF(A183=NPer,D183,IF(Method="Equal principal (reducing payments)",MIN(ROUND(EqPrin,2),D183),MIN(ROUND(Annuity-F183,2),D183)))),"")</f>
        <v/>
      </c>
      <c r="H183" s="41" t="str">
        <f aca="false">IF(AND(A183&lt;&gt;"",D183&gt;0.005),IF(A183&lt;=Grace,0,MIN(Extra,D183-G183)),"")</f>
        <v/>
      </c>
      <c r="I183" s="41" t="str">
        <f aca="false">IF(AND(A183&lt;&gt;"",D183&gt;0.005),MIN(SUMIF(LumpN,A183,LumpAmt),D183-G183-H183),"")</f>
        <v/>
      </c>
      <c r="J183" s="42" t="str">
        <f aca="false">IF(AND(A183&lt;&gt;"",D183&gt;0.005),E183+H183+I183,"")</f>
        <v/>
      </c>
      <c r="K183" s="42" t="str">
        <f aca="false">IF(AND(A183&lt;&gt;"",D183&gt;0.005),ROUND(D183-G183-H183-I183,2),"")</f>
        <v/>
      </c>
      <c r="L183" s="41" t="str">
        <f aca="false">IF(AND(A183&lt;&gt;"",D183&gt;0.005),L182+F183,"")</f>
        <v/>
      </c>
      <c r="M183" s="41" t="str">
        <f aca="false">IF(AND(A183&lt;&gt;"",D183&gt;0.005),M182+G183+H183+I183,"")</f>
        <v/>
      </c>
      <c r="N183" s="43" t="str">
        <f aca="false">IF(B183="","",YEAR(B183))</f>
        <v/>
      </c>
      <c r="O183" s="44" t="n">
        <f aca="false">IF(AND(A183&lt;&gt;"",D183&gt;0.005),J183,0)</f>
        <v>0</v>
      </c>
      <c r="P183" s="44" t="n">
        <f aca="false">R182</f>
        <v>0</v>
      </c>
      <c r="Q183" s="44" t="n">
        <f aca="false">IF(AND(P183&gt;0.005,176&lt;=NPer),ROUND(P183*RP,2),0)</f>
        <v>0</v>
      </c>
      <c r="R183" s="44" t="n">
        <f aca="false">IF(AND(P183&gt;0.005,176&lt;=NPer),ROUND(P183-IF(176&lt;=Grace,0,IF(176=NPer,P183,IF(Method="Equal principal (reducing payments)",MIN(ROUND(EqPrin,2),P183),MIN(ROUND(Annuity-Q183,2),P183)))),2),0)</f>
        <v>0</v>
      </c>
    </row>
    <row r="184" customFormat="false" ht="15" hidden="false" customHeight="false" outlineLevel="0" collapsed="false">
      <c r="A184" s="38" t="str">
        <f aca="false">IF(AND(N(K183)&gt;0.005,A183&lt;NPer),A183+1,"")</f>
        <v/>
      </c>
      <c r="B184" s="39" t="str">
        <f aca="false">IF(A184="","",EDATE(Disb,A184*MPP))</f>
        <v/>
      </c>
      <c r="C184" s="40" t="str">
        <f aca="false">IF(A184="","",IF(A184&lt;=Grace,"Grace","Repayment"))</f>
        <v/>
      </c>
      <c r="D184" s="41" t="str">
        <f aca="false">IF(A184="","",K183)</f>
        <v/>
      </c>
      <c r="E184" s="41" t="str">
        <f aca="false">IF(AND(A184&lt;&gt;"",D184&gt;0.005),F184+G184,"")</f>
        <v/>
      </c>
      <c r="F184" s="41" t="str">
        <f aca="false">IF(AND(A184&lt;&gt;"",D184&gt;0.005),ROUND(D184*RP,2),"")</f>
        <v/>
      </c>
      <c r="G184" s="41" t="str">
        <f aca="false">IF(AND(A184&lt;&gt;"",D184&gt;0.005),IF(A184&lt;=Grace,0,IF(A184=NPer,D184,IF(Method="Equal principal (reducing payments)",MIN(ROUND(EqPrin,2),D184),MIN(ROUND(Annuity-F184,2),D184)))),"")</f>
        <v/>
      </c>
      <c r="H184" s="41" t="str">
        <f aca="false">IF(AND(A184&lt;&gt;"",D184&gt;0.005),IF(A184&lt;=Grace,0,MIN(Extra,D184-G184)),"")</f>
        <v/>
      </c>
      <c r="I184" s="41" t="str">
        <f aca="false">IF(AND(A184&lt;&gt;"",D184&gt;0.005),MIN(SUMIF(LumpN,A184,LumpAmt),D184-G184-H184),"")</f>
        <v/>
      </c>
      <c r="J184" s="42" t="str">
        <f aca="false">IF(AND(A184&lt;&gt;"",D184&gt;0.005),E184+H184+I184,"")</f>
        <v/>
      </c>
      <c r="K184" s="42" t="str">
        <f aca="false">IF(AND(A184&lt;&gt;"",D184&gt;0.005),ROUND(D184-G184-H184-I184,2),"")</f>
        <v/>
      </c>
      <c r="L184" s="41" t="str">
        <f aca="false">IF(AND(A184&lt;&gt;"",D184&gt;0.005),L183+F184,"")</f>
        <v/>
      </c>
      <c r="M184" s="41" t="str">
        <f aca="false">IF(AND(A184&lt;&gt;"",D184&gt;0.005),M183+G184+H184+I184,"")</f>
        <v/>
      </c>
      <c r="N184" s="43" t="str">
        <f aca="false">IF(B184="","",YEAR(B184))</f>
        <v/>
      </c>
      <c r="O184" s="44" t="n">
        <f aca="false">IF(AND(A184&lt;&gt;"",D184&gt;0.005),J184,0)</f>
        <v>0</v>
      </c>
      <c r="P184" s="44" t="n">
        <f aca="false">R183</f>
        <v>0</v>
      </c>
      <c r="Q184" s="44" t="n">
        <f aca="false">IF(AND(P184&gt;0.005,177&lt;=NPer),ROUND(P184*RP,2),0)</f>
        <v>0</v>
      </c>
      <c r="R184" s="44" t="n">
        <f aca="false">IF(AND(P184&gt;0.005,177&lt;=NPer),ROUND(P184-IF(177&lt;=Grace,0,IF(177=NPer,P184,IF(Method="Equal principal (reducing payments)",MIN(ROUND(EqPrin,2),P184),MIN(ROUND(Annuity-Q184,2),P184)))),2),0)</f>
        <v>0</v>
      </c>
    </row>
    <row r="185" customFormat="false" ht="15" hidden="false" customHeight="false" outlineLevel="0" collapsed="false">
      <c r="A185" s="38" t="str">
        <f aca="false">IF(AND(N(K184)&gt;0.005,A184&lt;NPer),A184+1,"")</f>
        <v/>
      </c>
      <c r="B185" s="39" t="str">
        <f aca="false">IF(A185="","",EDATE(Disb,A185*MPP))</f>
        <v/>
      </c>
      <c r="C185" s="40" t="str">
        <f aca="false">IF(A185="","",IF(A185&lt;=Grace,"Grace","Repayment"))</f>
        <v/>
      </c>
      <c r="D185" s="41" t="str">
        <f aca="false">IF(A185="","",K184)</f>
        <v/>
      </c>
      <c r="E185" s="41" t="str">
        <f aca="false">IF(AND(A185&lt;&gt;"",D185&gt;0.005),F185+G185,"")</f>
        <v/>
      </c>
      <c r="F185" s="41" t="str">
        <f aca="false">IF(AND(A185&lt;&gt;"",D185&gt;0.005),ROUND(D185*RP,2),"")</f>
        <v/>
      </c>
      <c r="G185" s="41" t="str">
        <f aca="false">IF(AND(A185&lt;&gt;"",D185&gt;0.005),IF(A185&lt;=Grace,0,IF(A185=NPer,D185,IF(Method="Equal principal (reducing payments)",MIN(ROUND(EqPrin,2),D185),MIN(ROUND(Annuity-F185,2),D185)))),"")</f>
        <v/>
      </c>
      <c r="H185" s="41" t="str">
        <f aca="false">IF(AND(A185&lt;&gt;"",D185&gt;0.005),IF(A185&lt;=Grace,0,MIN(Extra,D185-G185)),"")</f>
        <v/>
      </c>
      <c r="I185" s="41" t="str">
        <f aca="false">IF(AND(A185&lt;&gt;"",D185&gt;0.005),MIN(SUMIF(LumpN,A185,LumpAmt),D185-G185-H185),"")</f>
        <v/>
      </c>
      <c r="J185" s="42" t="str">
        <f aca="false">IF(AND(A185&lt;&gt;"",D185&gt;0.005),E185+H185+I185,"")</f>
        <v/>
      </c>
      <c r="K185" s="42" t="str">
        <f aca="false">IF(AND(A185&lt;&gt;"",D185&gt;0.005),ROUND(D185-G185-H185-I185,2),"")</f>
        <v/>
      </c>
      <c r="L185" s="41" t="str">
        <f aca="false">IF(AND(A185&lt;&gt;"",D185&gt;0.005),L184+F185,"")</f>
        <v/>
      </c>
      <c r="M185" s="41" t="str">
        <f aca="false">IF(AND(A185&lt;&gt;"",D185&gt;0.005),M184+G185+H185+I185,"")</f>
        <v/>
      </c>
      <c r="N185" s="43" t="str">
        <f aca="false">IF(B185="","",YEAR(B185))</f>
        <v/>
      </c>
      <c r="O185" s="44" t="n">
        <f aca="false">IF(AND(A185&lt;&gt;"",D185&gt;0.005),J185,0)</f>
        <v>0</v>
      </c>
      <c r="P185" s="44" t="n">
        <f aca="false">R184</f>
        <v>0</v>
      </c>
      <c r="Q185" s="44" t="n">
        <f aca="false">IF(AND(P185&gt;0.005,178&lt;=NPer),ROUND(P185*RP,2),0)</f>
        <v>0</v>
      </c>
      <c r="R185" s="44" t="n">
        <f aca="false">IF(AND(P185&gt;0.005,178&lt;=NPer),ROUND(P185-IF(178&lt;=Grace,0,IF(178=NPer,P185,IF(Method="Equal principal (reducing payments)",MIN(ROUND(EqPrin,2),P185),MIN(ROUND(Annuity-Q185,2),P185)))),2),0)</f>
        <v>0</v>
      </c>
    </row>
    <row r="186" customFormat="false" ht="15" hidden="false" customHeight="false" outlineLevel="0" collapsed="false">
      <c r="A186" s="38" t="str">
        <f aca="false">IF(AND(N(K185)&gt;0.005,A185&lt;NPer),A185+1,"")</f>
        <v/>
      </c>
      <c r="B186" s="39" t="str">
        <f aca="false">IF(A186="","",EDATE(Disb,A186*MPP))</f>
        <v/>
      </c>
      <c r="C186" s="40" t="str">
        <f aca="false">IF(A186="","",IF(A186&lt;=Grace,"Grace","Repayment"))</f>
        <v/>
      </c>
      <c r="D186" s="41" t="str">
        <f aca="false">IF(A186="","",K185)</f>
        <v/>
      </c>
      <c r="E186" s="41" t="str">
        <f aca="false">IF(AND(A186&lt;&gt;"",D186&gt;0.005),F186+G186,"")</f>
        <v/>
      </c>
      <c r="F186" s="41" t="str">
        <f aca="false">IF(AND(A186&lt;&gt;"",D186&gt;0.005),ROUND(D186*RP,2),"")</f>
        <v/>
      </c>
      <c r="G186" s="41" t="str">
        <f aca="false">IF(AND(A186&lt;&gt;"",D186&gt;0.005),IF(A186&lt;=Grace,0,IF(A186=NPer,D186,IF(Method="Equal principal (reducing payments)",MIN(ROUND(EqPrin,2),D186),MIN(ROUND(Annuity-F186,2),D186)))),"")</f>
        <v/>
      </c>
      <c r="H186" s="41" t="str">
        <f aca="false">IF(AND(A186&lt;&gt;"",D186&gt;0.005),IF(A186&lt;=Grace,0,MIN(Extra,D186-G186)),"")</f>
        <v/>
      </c>
      <c r="I186" s="41" t="str">
        <f aca="false">IF(AND(A186&lt;&gt;"",D186&gt;0.005),MIN(SUMIF(LumpN,A186,LumpAmt),D186-G186-H186),"")</f>
        <v/>
      </c>
      <c r="J186" s="42" t="str">
        <f aca="false">IF(AND(A186&lt;&gt;"",D186&gt;0.005),E186+H186+I186,"")</f>
        <v/>
      </c>
      <c r="K186" s="42" t="str">
        <f aca="false">IF(AND(A186&lt;&gt;"",D186&gt;0.005),ROUND(D186-G186-H186-I186,2),"")</f>
        <v/>
      </c>
      <c r="L186" s="41" t="str">
        <f aca="false">IF(AND(A186&lt;&gt;"",D186&gt;0.005),L185+F186,"")</f>
        <v/>
      </c>
      <c r="M186" s="41" t="str">
        <f aca="false">IF(AND(A186&lt;&gt;"",D186&gt;0.005),M185+G186+H186+I186,"")</f>
        <v/>
      </c>
      <c r="N186" s="43" t="str">
        <f aca="false">IF(B186="","",YEAR(B186))</f>
        <v/>
      </c>
      <c r="O186" s="44" t="n">
        <f aca="false">IF(AND(A186&lt;&gt;"",D186&gt;0.005),J186,0)</f>
        <v>0</v>
      </c>
      <c r="P186" s="44" t="n">
        <f aca="false">R185</f>
        <v>0</v>
      </c>
      <c r="Q186" s="44" t="n">
        <f aca="false">IF(AND(P186&gt;0.005,179&lt;=NPer),ROUND(P186*RP,2),0)</f>
        <v>0</v>
      </c>
      <c r="R186" s="44" t="n">
        <f aca="false">IF(AND(P186&gt;0.005,179&lt;=NPer),ROUND(P186-IF(179&lt;=Grace,0,IF(179=NPer,P186,IF(Method="Equal principal (reducing payments)",MIN(ROUND(EqPrin,2),P186),MIN(ROUND(Annuity-Q186,2),P186)))),2),0)</f>
        <v>0</v>
      </c>
    </row>
    <row r="187" customFormat="false" ht="15" hidden="false" customHeight="false" outlineLevel="0" collapsed="false">
      <c r="A187" s="38" t="str">
        <f aca="false">IF(AND(N(K186)&gt;0.005,A186&lt;NPer),A186+1,"")</f>
        <v/>
      </c>
      <c r="B187" s="39" t="str">
        <f aca="false">IF(A187="","",EDATE(Disb,A187*MPP))</f>
        <v/>
      </c>
      <c r="C187" s="40" t="str">
        <f aca="false">IF(A187="","",IF(A187&lt;=Grace,"Grace","Repayment"))</f>
        <v/>
      </c>
      <c r="D187" s="41" t="str">
        <f aca="false">IF(A187="","",K186)</f>
        <v/>
      </c>
      <c r="E187" s="41" t="str">
        <f aca="false">IF(AND(A187&lt;&gt;"",D187&gt;0.005),F187+G187,"")</f>
        <v/>
      </c>
      <c r="F187" s="41" t="str">
        <f aca="false">IF(AND(A187&lt;&gt;"",D187&gt;0.005),ROUND(D187*RP,2),"")</f>
        <v/>
      </c>
      <c r="G187" s="41" t="str">
        <f aca="false">IF(AND(A187&lt;&gt;"",D187&gt;0.005),IF(A187&lt;=Grace,0,IF(A187=NPer,D187,IF(Method="Equal principal (reducing payments)",MIN(ROUND(EqPrin,2),D187),MIN(ROUND(Annuity-F187,2),D187)))),"")</f>
        <v/>
      </c>
      <c r="H187" s="41" t="str">
        <f aca="false">IF(AND(A187&lt;&gt;"",D187&gt;0.005),IF(A187&lt;=Grace,0,MIN(Extra,D187-G187)),"")</f>
        <v/>
      </c>
      <c r="I187" s="41" t="str">
        <f aca="false">IF(AND(A187&lt;&gt;"",D187&gt;0.005),MIN(SUMIF(LumpN,A187,LumpAmt),D187-G187-H187),"")</f>
        <v/>
      </c>
      <c r="J187" s="42" t="str">
        <f aca="false">IF(AND(A187&lt;&gt;"",D187&gt;0.005),E187+H187+I187,"")</f>
        <v/>
      </c>
      <c r="K187" s="42" t="str">
        <f aca="false">IF(AND(A187&lt;&gt;"",D187&gt;0.005),ROUND(D187-G187-H187-I187,2),"")</f>
        <v/>
      </c>
      <c r="L187" s="41" t="str">
        <f aca="false">IF(AND(A187&lt;&gt;"",D187&gt;0.005),L186+F187,"")</f>
        <v/>
      </c>
      <c r="M187" s="41" t="str">
        <f aca="false">IF(AND(A187&lt;&gt;"",D187&gt;0.005),M186+G187+H187+I187,"")</f>
        <v/>
      </c>
      <c r="N187" s="43" t="str">
        <f aca="false">IF(B187="","",YEAR(B187))</f>
        <v/>
      </c>
      <c r="O187" s="44" t="n">
        <f aca="false">IF(AND(A187&lt;&gt;"",D187&gt;0.005),J187,0)</f>
        <v>0</v>
      </c>
      <c r="P187" s="44" t="n">
        <f aca="false">R186</f>
        <v>0</v>
      </c>
      <c r="Q187" s="44" t="n">
        <f aca="false">IF(AND(P187&gt;0.005,180&lt;=NPer),ROUND(P187*RP,2),0)</f>
        <v>0</v>
      </c>
      <c r="R187" s="44" t="n">
        <f aca="false">IF(AND(P187&gt;0.005,180&lt;=NPer),ROUND(P187-IF(180&lt;=Grace,0,IF(180=NPer,P187,IF(Method="Equal principal (reducing payments)",MIN(ROUND(EqPrin,2),P187),MIN(ROUND(Annuity-Q187,2),P187)))),2),0)</f>
        <v>0</v>
      </c>
    </row>
    <row r="188" customFormat="false" ht="15" hidden="false" customHeight="false" outlineLevel="0" collapsed="false">
      <c r="A188" s="38" t="str">
        <f aca="false">IF(AND(N(K187)&gt;0.005,A187&lt;NPer),A187+1,"")</f>
        <v/>
      </c>
      <c r="B188" s="39" t="str">
        <f aca="false">IF(A188="","",EDATE(Disb,A188*MPP))</f>
        <v/>
      </c>
      <c r="C188" s="40" t="str">
        <f aca="false">IF(A188="","",IF(A188&lt;=Grace,"Grace","Repayment"))</f>
        <v/>
      </c>
      <c r="D188" s="41" t="str">
        <f aca="false">IF(A188="","",K187)</f>
        <v/>
      </c>
      <c r="E188" s="41" t="str">
        <f aca="false">IF(AND(A188&lt;&gt;"",D188&gt;0.005),F188+G188,"")</f>
        <v/>
      </c>
      <c r="F188" s="41" t="str">
        <f aca="false">IF(AND(A188&lt;&gt;"",D188&gt;0.005),ROUND(D188*RP,2),"")</f>
        <v/>
      </c>
      <c r="G188" s="41" t="str">
        <f aca="false">IF(AND(A188&lt;&gt;"",D188&gt;0.005),IF(A188&lt;=Grace,0,IF(A188=NPer,D188,IF(Method="Equal principal (reducing payments)",MIN(ROUND(EqPrin,2),D188),MIN(ROUND(Annuity-F188,2),D188)))),"")</f>
        <v/>
      </c>
      <c r="H188" s="41" t="str">
        <f aca="false">IF(AND(A188&lt;&gt;"",D188&gt;0.005),IF(A188&lt;=Grace,0,MIN(Extra,D188-G188)),"")</f>
        <v/>
      </c>
      <c r="I188" s="41" t="str">
        <f aca="false">IF(AND(A188&lt;&gt;"",D188&gt;0.005),MIN(SUMIF(LumpN,A188,LumpAmt),D188-G188-H188),"")</f>
        <v/>
      </c>
      <c r="J188" s="42" t="str">
        <f aca="false">IF(AND(A188&lt;&gt;"",D188&gt;0.005),E188+H188+I188,"")</f>
        <v/>
      </c>
      <c r="K188" s="42" t="str">
        <f aca="false">IF(AND(A188&lt;&gt;"",D188&gt;0.005),ROUND(D188-G188-H188-I188,2),"")</f>
        <v/>
      </c>
      <c r="L188" s="41" t="str">
        <f aca="false">IF(AND(A188&lt;&gt;"",D188&gt;0.005),L187+F188,"")</f>
        <v/>
      </c>
      <c r="M188" s="41" t="str">
        <f aca="false">IF(AND(A188&lt;&gt;"",D188&gt;0.005),M187+G188+H188+I188,"")</f>
        <v/>
      </c>
      <c r="N188" s="43" t="str">
        <f aca="false">IF(B188="","",YEAR(B188))</f>
        <v/>
      </c>
      <c r="O188" s="44" t="n">
        <f aca="false">IF(AND(A188&lt;&gt;"",D188&gt;0.005),J188,0)</f>
        <v>0</v>
      </c>
      <c r="P188" s="44" t="n">
        <f aca="false">R187</f>
        <v>0</v>
      </c>
      <c r="Q188" s="44" t="n">
        <f aca="false">IF(AND(P188&gt;0.005,181&lt;=NPer),ROUND(P188*RP,2),0)</f>
        <v>0</v>
      </c>
      <c r="R188" s="44" t="n">
        <f aca="false">IF(AND(P188&gt;0.005,181&lt;=NPer),ROUND(P188-IF(181&lt;=Grace,0,IF(181=NPer,P188,IF(Method="Equal principal (reducing payments)",MIN(ROUND(EqPrin,2),P188),MIN(ROUND(Annuity-Q188,2),P188)))),2),0)</f>
        <v>0</v>
      </c>
    </row>
    <row r="189" customFormat="false" ht="15" hidden="false" customHeight="false" outlineLevel="0" collapsed="false">
      <c r="A189" s="38" t="str">
        <f aca="false">IF(AND(N(K188)&gt;0.005,A188&lt;NPer),A188+1,"")</f>
        <v/>
      </c>
      <c r="B189" s="39" t="str">
        <f aca="false">IF(A189="","",EDATE(Disb,A189*MPP))</f>
        <v/>
      </c>
      <c r="C189" s="40" t="str">
        <f aca="false">IF(A189="","",IF(A189&lt;=Grace,"Grace","Repayment"))</f>
        <v/>
      </c>
      <c r="D189" s="41" t="str">
        <f aca="false">IF(A189="","",K188)</f>
        <v/>
      </c>
      <c r="E189" s="41" t="str">
        <f aca="false">IF(AND(A189&lt;&gt;"",D189&gt;0.005),F189+G189,"")</f>
        <v/>
      </c>
      <c r="F189" s="41" t="str">
        <f aca="false">IF(AND(A189&lt;&gt;"",D189&gt;0.005),ROUND(D189*RP,2),"")</f>
        <v/>
      </c>
      <c r="G189" s="41" t="str">
        <f aca="false">IF(AND(A189&lt;&gt;"",D189&gt;0.005),IF(A189&lt;=Grace,0,IF(A189=NPer,D189,IF(Method="Equal principal (reducing payments)",MIN(ROUND(EqPrin,2),D189),MIN(ROUND(Annuity-F189,2),D189)))),"")</f>
        <v/>
      </c>
      <c r="H189" s="41" t="str">
        <f aca="false">IF(AND(A189&lt;&gt;"",D189&gt;0.005),IF(A189&lt;=Grace,0,MIN(Extra,D189-G189)),"")</f>
        <v/>
      </c>
      <c r="I189" s="41" t="str">
        <f aca="false">IF(AND(A189&lt;&gt;"",D189&gt;0.005),MIN(SUMIF(LumpN,A189,LumpAmt),D189-G189-H189),"")</f>
        <v/>
      </c>
      <c r="J189" s="42" t="str">
        <f aca="false">IF(AND(A189&lt;&gt;"",D189&gt;0.005),E189+H189+I189,"")</f>
        <v/>
      </c>
      <c r="K189" s="42" t="str">
        <f aca="false">IF(AND(A189&lt;&gt;"",D189&gt;0.005),ROUND(D189-G189-H189-I189,2),"")</f>
        <v/>
      </c>
      <c r="L189" s="41" t="str">
        <f aca="false">IF(AND(A189&lt;&gt;"",D189&gt;0.005),L188+F189,"")</f>
        <v/>
      </c>
      <c r="M189" s="41" t="str">
        <f aca="false">IF(AND(A189&lt;&gt;"",D189&gt;0.005),M188+G189+H189+I189,"")</f>
        <v/>
      </c>
      <c r="N189" s="43" t="str">
        <f aca="false">IF(B189="","",YEAR(B189))</f>
        <v/>
      </c>
      <c r="O189" s="44" t="n">
        <f aca="false">IF(AND(A189&lt;&gt;"",D189&gt;0.005),J189,0)</f>
        <v>0</v>
      </c>
      <c r="P189" s="44" t="n">
        <f aca="false">R188</f>
        <v>0</v>
      </c>
      <c r="Q189" s="44" t="n">
        <f aca="false">IF(AND(P189&gt;0.005,182&lt;=NPer),ROUND(P189*RP,2),0)</f>
        <v>0</v>
      </c>
      <c r="R189" s="44" t="n">
        <f aca="false">IF(AND(P189&gt;0.005,182&lt;=NPer),ROUND(P189-IF(182&lt;=Grace,0,IF(182=NPer,P189,IF(Method="Equal principal (reducing payments)",MIN(ROUND(EqPrin,2),P189),MIN(ROUND(Annuity-Q189,2),P189)))),2),0)</f>
        <v>0</v>
      </c>
    </row>
    <row r="190" customFormat="false" ht="15" hidden="false" customHeight="false" outlineLevel="0" collapsed="false">
      <c r="A190" s="38" t="str">
        <f aca="false">IF(AND(N(K189)&gt;0.005,A189&lt;NPer),A189+1,"")</f>
        <v/>
      </c>
      <c r="B190" s="39" t="str">
        <f aca="false">IF(A190="","",EDATE(Disb,A190*MPP))</f>
        <v/>
      </c>
      <c r="C190" s="40" t="str">
        <f aca="false">IF(A190="","",IF(A190&lt;=Grace,"Grace","Repayment"))</f>
        <v/>
      </c>
      <c r="D190" s="41" t="str">
        <f aca="false">IF(A190="","",K189)</f>
        <v/>
      </c>
      <c r="E190" s="41" t="str">
        <f aca="false">IF(AND(A190&lt;&gt;"",D190&gt;0.005),F190+G190,"")</f>
        <v/>
      </c>
      <c r="F190" s="41" t="str">
        <f aca="false">IF(AND(A190&lt;&gt;"",D190&gt;0.005),ROUND(D190*RP,2),"")</f>
        <v/>
      </c>
      <c r="G190" s="41" t="str">
        <f aca="false">IF(AND(A190&lt;&gt;"",D190&gt;0.005),IF(A190&lt;=Grace,0,IF(A190=NPer,D190,IF(Method="Equal principal (reducing payments)",MIN(ROUND(EqPrin,2),D190),MIN(ROUND(Annuity-F190,2),D190)))),"")</f>
        <v/>
      </c>
      <c r="H190" s="41" t="str">
        <f aca="false">IF(AND(A190&lt;&gt;"",D190&gt;0.005),IF(A190&lt;=Grace,0,MIN(Extra,D190-G190)),"")</f>
        <v/>
      </c>
      <c r="I190" s="41" t="str">
        <f aca="false">IF(AND(A190&lt;&gt;"",D190&gt;0.005),MIN(SUMIF(LumpN,A190,LumpAmt),D190-G190-H190),"")</f>
        <v/>
      </c>
      <c r="J190" s="42" t="str">
        <f aca="false">IF(AND(A190&lt;&gt;"",D190&gt;0.005),E190+H190+I190,"")</f>
        <v/>
      </c>
      <c r="K190" s="42" t="str">
        <f aca="false">IF(AND(A190&lt;&gt;"",D190&gt;0.005),ROUND(D190-G190-H190-I190,2),"")</f>
        <v/>
      </c>
      <c r="L190" s="41" t="str">
        <f aca="false">IF(AND(A190&lt;&gt;"",D190&gt;0.005),L189+F190,"")</f>
        <v/>
      </c>
      <c r="M190" s="41" t="str">
        <f aca="false">IF(AND(A190&lt;&gt;"",D190&gt;0.005),M189+G190+H190+I190,"")</f>
        <v/>
      </c>
      <c r="N190" s="43" t="str">
        <f aca="false">IF(B190="","",YEAR(B190))</f>
        <v/>
      </c>
      <c r="O190" s="44" t="n">
        <f aca="false">IF(AND(A190&lt;&gt;"",D190&gt;0.005),J190,0)</f>
        <v>0</v>
      </c>
      <c r="P190" s="44" t="n">
        <f aca="false">R189</f>
        <v>0</v>
      </c>
      <c r="Q190" s="44" t="n">
        <f aca="false">IF(AND(P190&gt;0.005,183&lt;=NPer),ROUND(P190*RP,2),0)</f>
        <v>0</v>
      </c>
      <c r="R190" s="44" t="n">
        <f aca="false">IF(AND(P190&gt;0.005,183&lt;=NPer),ROUND(P190-IF(183&lt;=Grace,0,IF(183=NPer,P190,IF(Method="Equal principal (reducing payments)",MIN(ROUND(EqPrin,2),P190),MIN(ROUND(Annuity-Q190,2),P190)))),2),0)</f>
        <v>0</v>
      </c>
    </row>
    <row r="191" customFormat="false" ht="15" hidden="false" customHeight="false" outlineLevel="0" collapsed="false">
      <c r="A191" s="38" t="str">
        <f aca="false">IF(AND(N(K190)&gt;0.005,A190&lt;NPer),A190+1,"")</f>
        <v/>
      </c>
      <c r="B191" s="39" t="str">
        <f aca="false">IF(A191="","",EDATE(Disb,A191*MPP))</f>
        <v/>
      </c>
      <c r="C191" s="40" t="str">
        <f aca="false">IF(A191="","",IF(A191&lt;=Grace,"Grace","Repayment"))</f>
        <v/>
      </c>
      <c r="D191" s="41" t="str">
        <f aca="false">IF(A191="","",K190)</f>
        <v/>
      </c>
      <c r="E191" s="41" t="str">
        <f aca="false">IF(AND(A191&lt;&gt;"",D191&gt;0.005),F191+G191,"")</f>
        <v/>
      </c>
      <c r="F191" s="41" t="str">
        <f aca="false">IF(AND(A191&lt;&gt;"",D191&gt;0.005),ROUND(D191*RP,2),"")</f>
        <v/>
      </c>
      <c r="G191" s="41" t="str">
        <f aca="false">IF(AND(A191&lt;&gt;"",D191&gt;0.005),IF(A191&lt;=Grace,0,IF(A191=NPer,D191,IF(Method="Equal principal (reducing payments)",MIN(ROUND(EqPrin,2),D191),MIN(ROUND(Annuity-F191,2),D191)))),"")</f>
        <v/>
      </c>
      <c r="H191" s="41" t="str">
        <f aca="false">IF(AND(A191&lt;&gt;"",D191&gt;0.005),IF(A191&lt;=Grace,0,MIN(Extra,D191-G191)),"")</f>
        <v/>
      </c>
      <c r="I191" s="41" t="str">
        <f aca="false">IF(AND(A191&lt;&gt;"",D191&gt;0.005),MIN(SUMIF(LumpN,A191,LumpAmt),D191-G191-H191),"")</f>
        <v/>
      </c>
      <c r="J191" s="42" t="str">
        <f aca="false">IF(AND(A191&lt;&gt;"",D191&gt;0.005),E191+H191+I191,"")</f>
        <v/>
      </c>
      <c r="K191" s="42" t="str">
        <f aca="false">IF(AND(A191&lt;&gt;"",D191&gt;0.005),ROUND(D191-G191-H191-I191,2),"")</f>
        <v/>
      </c>
      <c r="L191" s="41" t="str">
        <f aca="false">IF(AND(A191&lt;&gt;"",D191&gt;0.005),L190+F191,"")</f>
        <v/>
      </c>
      <c r="M191" s="41" t="str">
        <f aca="false">IF(AND(A191&lt;&gt;"",D191&gt;0.005),M190+G191+H191+I191,"")</f>
        <v/>
      </c>
      <c r="N191" s="43" t="str">
        <f aca="false">IF(B191="","",YEAR(B191))</f>
        <v/>
      </c>
      <c r="O191" s="44" t="n">
        <f aca="false">IF(AND(A191&lt;&gt;"",D191&gt;0.005),J191,0)</f>
        <v>0</v>
      </c>
      <c r="P191" s="44" t="n">
        <f aca="false">R190</f>
        <v>0</v>
      </c>
      <c r="Q191" s="44" t="n">
        <f aca="false">IF(AND(P191&gt;0.005,184&lt;=NPer),ROUND(P191*RP,2),0)</f>
        <v>0</v>
      </c>
      <c r="R191" s="44" t="n">
        <f aca="false">IF(AND(P191&gt;0.005,184&lt;=NPer),ROUND(P191-IF(184&lt;=Grace,0,IF(184=NPer,P191,IF(Method="Equal principal (reducing payments)",MIN(ROUND(EqPrin,2),P191),MIN(ROUND(Annuity-Q191,2),P191)))),2),0)</f>
        <v>0</v>
      </c>
    </row>
    <row r="192" customFormat="false" ht="15" hidden="false" customHeight="false" outlineLevel="0" collapsed="false">
      <c r="A192" s="38" t="str">
        <f aca="false">IF(AND(N(K191)&gt;0.005,A191&lt;NPer),A191+1,"")</f>
        <v/>
      </c>
      <c r="B192" s="39" t="str">
        <f aca="false">IF(A192="","",EDATE(Disb,A192*MPP))</f>
        <v/>
      </c>
      <c r="C192" s="40" t="str">
        <f aca="false">IF(A192="","",IF(A192&lt;=Grace,"Grace","Repayment"))</f>
        <v/>
      </c>
      <c r="D192" s="41" t="str">
        <f aca="false">IF(A192="","",K191)</f>
        <v/>
      </c>
      <c r="E192" s="41" t="str">
        <f aca="false">IF(AND(A192&lt;&gt;"",D192&gt;0.005),F192+G192,"")</f>
        <v/>
      </c>
      <c r="F192" s="41" t="str">
        <f aca="false">IF(AND(A192&lt;&gt;"",D192&gt;0.005),ROUND(D192*RP,2),"")</f>
        <v/>
      </c>
      <c r="G192" s="41" t="str">
        <f aca="false">IF(AND(A192&lt;&gt;"",D192&gt;0.005),IF(A192&lt;=Grace,0,IF(A192=NPer,D192,IF(Method="Equal principal (reducing payments)",MIN(ROUND(EqPrin,2),D192),MIN(ROUND(Annuity-F192,2),D192)))),"")</f>
        <v/>
      </c>
      <c r="H192" s="41" t="str">
        <f aca="false">IF(AND(A192&lt;&gt;"",D192&gt;0.005),IF(A192&lt;=Grace,0,MIN(Extra,D192-G192)),"")</f>
        <v/>
      </c>
      <c r="I192" s="41" t="str">
        <f aca="false">IF(AND(A192&lt;&gt;"",D192&gt;0.005),MIN(SUMIF(LumpN,A192,LumpAmt),D192-G192-H192),"")</f>
        <v/>
      </c>
      <c r="J192" s="42" t="str">
        <f aca="false">IF(AND(A192&lt;&gt;"",D192&gt;0.005),E192+H192+I192,"")</f>
        <v/>
      </c>
      <c r="K192" s="42" t="str">
        <f aca="false">IF(AND(A192&lt;&gt;"",D192&gt;0.005),ROUND(D192-G192-H192-I192,2),"")</f>
        <v/>
      </c>
      <c r="L192" s="41" t="str">
        <f aca="false">IF(AND(A192&lt;&gt;"",D192&gt;0.005),L191+F192,"")</f>
        <v/>
      </c>
      <c r="M192" s="41" t="str">
        <f aca="false">IF(AND(A192&lt;&gt;"",D192&gt;0.005),M191+G192+H192+I192,"")</f>
        <v/>
      </c>
      <c r="N192" s="43" t="str">
        <f aca="false">IF(B192="","",YEAR(B192))</f>
        <v/>
      </c>
      <c r="O192" s="44" t="n">
        <f aca="false">IF(AND(A192&lt;&gt;"",D192&gt;0.005),J192,0)</f>
        <v>0</v>
      </c>
      <c r="P192" s="44" t="n">
        <f aca="false">R191</f>
        <v>0</v>
      </c>
      <c r="Q192" s="44" t="n">
        <f aca="false">IF(AND(P192&gt;0.005,185&lt;=NPer),ROUND(P192*RP,2),0)</f>
        <v>0</v>
      </c>
      <c r="R192" s="44" t="n">
        <f aca="false">IF(AND(P192&gt;0.005,185&lt;=NPer),ROUND(P192-IF(185&lt;=Grace,0,IF(185=NPer,P192,IF(Method="Equal principal (reducing payments)",MIN(ROUND(EqPrin,2),P192),MIN(ROUND(Annuity-Q192,2),P192)))),2),0)</f>
        <v>0</v>
      </c>
    </row>
    <row r="193" customFormat="false" ht="15" hidden="false" customHeight="false" outlineLevel="0" collapsed="false">
      <c r="A193" s="38" t="str">
        <f aca="false">IF(AND(N(K192)&gt;0.005,A192&lt;NPer),A192+1,"")</f>
        <v/>
      </c>
      <c r="B193" s="39" t="str">
        <f aca="false">IF(A193="","",EDATE(Disb,A193*MPP))</f>
        <v/>
      </c>
      <c r="C193" s="40" t="str">
        <f aca="false">IF(A193="","",IF(A193&lt;=Grace,"Grace","Repayment"))</f>
        <v/>
      </c>
      <c r="D193" s="41" t="str">
        <f aca="false">IF(A193="","",K192)</f>
        <v/>
      </c>
      <c r="E193" s="41" t="str">
        <f aca="false">IF(AND(A193&lt;&gt;"",D193&gt;0.005),F193+G193,"")</f>
        <v/>
      </c>
      <c r="F193" s="41" t="str">
        <f aca="false">IF(AND(A193&lt;&gt;"",D193&gt;0.005),ROUND(D193*RP,2),"")</f>
        <v/>
      </c>
      <c r="G193" s="41" t="str">
        <f aca="false">IF(AND(A193&lt;&gt;"",D193&gt;0.005),IF(A193&lt;=Grace,0,IF(A193=NPer,D193,IF(Method="Equal principal (reducing payments)",MIN(ROUND(EqPrin,2),D193),MIN(ROUND(Annuity-F193,2),D193)))),"")</f>
        <v/>
      </c>
      <c r="H193" s="41" t="str">
        <f aca="false">IF(AND(A193&lt;&gt;"",D193&gt;0.005),IF(A193&lt;=Grace,0,MIN(Extra,D193-G193)),"")</f>
        <v/>
      </c>
      <c r="I193" s="41" t="str">
        <f aca="false">IF(AND(A193&lt;&gt;"",D193&gt;0.005),MIN(SUMIF(LumpN,A193,LumpAmt),D193-G193-H193),"")</f>
        <v/>
      </c>
      <c r="J193" s="42" t="str">
        <f aca="false">IF(AND(A193&lt;&gt;"",D193&gt;0.005),E193+H193+I193,"")</f>
        <v/>
      </c>
      <c r="K193" s="42" t="str">
        <f aca="false">IF(AND(A193&lt;&gt;"",D193&gt;0.005),ROUND(D193-G193-H193-I193,2),"")</f>
        <v/>
      </c>
      <c r="L193" s="41" t="str">
        <f aca="false">IF(AND(A193&lt;&gt;"",D193&gt;0.005),L192+F193,"")</f>
        <v/>
      </c>
      <c r="M193" s="41" t="str">
        <f aca="false">IF(AND(A193&lt;&gt;"",D193&gt;0.005),M192+G193+H193+I193,"")</f>
        <v/>
      </c>
      <c r="N193" s="43" t="str">
        <f aca="false">IF(B193="","",YEAR(B193))</f>
        <v/>
      </c>
      <c r="O193" s="44" t="n">
        <f aca="false">IF(AND(A193&lt;&gt;"",D193&gt;0.005),J193,0)</f>
        <v>0</v>
      </c>
      <c r="P193" s="44" t="n">
        <f aca="false">R192</f>
        <v>0</v>
      </c>
      <c r="Q193" s="44" t="n">
        <f aca="false">IF(AND(P193&gt;0.005,186&lt;=NPer),ROUND(P193*RP,2),0)</f>
        <v>0</v>
      </c>
      <c r="R193" s="44" t="n">
        <f aca="false">IF(AND(P193&gt;0.005,186&lt;=NPer),ROUND(P193-IF(186&lt;=Grace,0,IF(186=NPer,P193,IF(Method="Equal principal (reducing payments)",MIN(ROUND(EqPrin,2),P193),MIN(ROUND(Annuity-Q193,2),P193)))),2),0)</f>
        <v>0</v>
      </c>
    </row>
    <row r="194" customFormat="false" ht="15" hidden="false" customHeight="false" outlineLevel="0" collapsed="false">
      <c r="A194" s="38" t="str">
        <f aca="false">IF(AND(N(K193)&gt;0.005,A193&lt;NPer),A193+1,"")</f>
        <v/>
      </c>
      <c r="B194" s="39" t="str">
        <f aca="false">IF(A194="","",EDATE(Disb,A194*MPP))</f>
        <v/>
      </c>
      <c r="C194" s="40" t="str">
        <f aca="false">IF(A194="","",IF(A194&lt;=Grace,"Grace","Repayment"))</f>
        <v/>
      </c>
      <c r="D194" s="41" t="str">
        <f aca="false">IF(A194="","",K193)</f>
        <v/>
      </c>
      <c r="E194" s="41" t="str">
        <f aca="false">IF(AND(A194&lt;&gt;"",D194&gt;0.005),F194+G194,"")</f>
        <v/>
      </c>
      <c r="F194" s="41" t="str">
        <f aca="false">IF(AND(A194&lt;&gt;"",D194&gt;0.005),ROUND(D194*RP,2),"")</f>
        <v/>
      </c>
      <c r="G194" s="41" t="str">
        <f aca="false">IF(AND(A194&lt;&gt;"",D194&gt;0.005),IF(A194&lt;=Grace,0,IF(A194=NPer,D194,IF(Method="Equal principal (reducing payments)",MIN(ROUND(EqPrin,2),D194),MIN(ROUND(Annuity-F194,2),D194)))),"")</f>
        <v/>
      </c>
      <c r="H194" s="41" t="str">
        <f aca="false">IF(AND(A194&lt;&gt;"",D194&gt;0.005),IF(A194&lt;=Grace,0,MIN(Extra,D194-G194)),"")</f>
        <v/>
      </c>
      <c r="I194" s="41" t="str">
        <f aca="false">IF(AND(A194&lt;&gt;"",D194&gt;0.005),MIN(SUMIF(LumpN,A194,LumpAmt),D194-G194-H194),"")</f>
        <v/>
      </c>
      <c r="J194" s="42" t="str">
        <f aca="false">IF(AND(A194&lt;&gt;"",D194&gt;0.005),E194+H194+I194,"")</f>
        <v/>
      </c>
      <c r="K194" s="42" t="str">
        <f aca="false">IF(AND(A194&lt;&gt;"",D194&gt;0.005),ROUND(D194-G194-H194-I194,2),"")</f>
        <v/>
      </c>
      <c r="L194" s="41" t="str">
        <f aca="false">IF(AND(A194&lt;&gt;"",D194&gt;0.005),L193+F194,"")</f>
        <v/>
      </c>
      <c r="M194" s="41" t="str">
        <f aca="false">IF(AND(A194&lt;&gt;"",D194&gt;0.005),M193+G194+H194+I194,"")</f>
        <v/>
      </c>
      <c r="N194" s="43" t="str">
        <f aca="false">IF(B194="","",YEAR(B194))</f>
        <v/>
      </c>
      <c r="O194" s="44" t="n">
        <f aca="false">IF(AND(A194&lt;&gt;"",D194&gt;0.005),J194,0)</f>
        <v>0</v>
      </c>
      <c r="P194" s="44" t="n">
        <f aca="false">R193</f>
        <v>0</v>
      </c>
      <c r="Q194" s="44" t="n">
        <f aca="false">IF(AND(P194&gt;0.005,187&lt;=NPer),ROUND(P194*RP,2),0)</f>
        <v>0</v>
      </c>
      <c r="R194" s="44" t="n">
        <f aca="false">IF(AND(P194&gt;0.005,187&lt;=NPer),ROUND(P194-IF(187&lt;=Grace,0,IF(187=NPer,P194,IF(Method="Equal principal (reducing payments)",MIN(ROUND(EqPrin,2),P194),MIN(ROUND(Annuity-Q194,2),P194)))),2),0)</f>
        <v>0</v>
      </c>
    </row>
    <row r="195" customFormat="false" ht="15" hidden="false" customHeight="false" outlineLevel="0" collapsed="false">
      <c r="A195" s="38" t="str">
        <f aca="false">IF(AND(N(K194)&gt;0.005,A194&lt;NPer),A194+1,"")</f>
        <v/>
      </c>
      <c r="B195" s="39" t="str">
        <f aca="false">IF(A195="","",EDATE(Disb,A195*MPP))</f>
        <v/>
      </c>
      <c r="C195" s="40" t="str">
        <f aca="false">IF(A195="","",IF(A195&lt;=Grace,"Grace","Repayment"))</f>
        <v/>
      </c>
      <c r="D195" s="41" t="str">
        <f aca="false">IF(A195="","",K194)</f>
        <v/>
      </c>
      <c r="E195" s="41" t="str">
        <f aca="false">IF(AND(A195&lt;&gt;"",D195&gt;0.005),F195+G195,"")</f>
        <v/>
      </c>
      <c r="F195" s="41" t="str">
        <f aca="false">IF(AND(A195&lt;&gt;"",D195&gt;0.005),ROUND(D195*RP,2),"")</f>
        <v/>
      </c>
      <c r="G195" s="41" t="str">
        <f aca="false">IF(AND(A195&lt;&gt;"",D195&gt;0.005),IF(A195&lt;=Grace,0,IF(A195=NPer,D195,IF(Method="Equal principal (reducing payments)",MIN(ROUND(EqPrin,2),D195),MIN(ROUND(Annuity-F195,2),D195)))),"")</f>
        <v/>
      </c>
      <c r="H195" s="41" t="str">
        <f aca="false">IF(AND(A195&lt;&gt;"",D195&gt;0.005),IF(A195&lt;=Grace,0,MIN(Extra,D195-G195)),"")</f>
        <v/>
      </c>
      <c r="I195" s="41" t="str">
        <f aca="false">IF(AND(A195&lt;&gt;"",D195&gt;0.005),MIN(SUMIF(LumpN,A195,LumpAmt),D195-G195-H195),"")</f>
        <v/>
      </c>
      <c r="J195" s="42" t="str">
        <f aca="false">IF(AND(A195&lt;&gt;"",D195&gt;0.005),E195+H195+I195,"")</f>
        <v/>
      </c>
      <c r="K195" s="42" t="str">
        <f aca="false">IF(AND(A195&lt;&gt;"",D195&gt;0.005),ROUND(D195-G195-H195-I195,2),"")</f>
        <v/>
      </c>
      <c r="L195" s="41" t="str">
        <f aca="false">IF(AND(A195&lt;&gt;"",D195&gt;0.005),L194+F195,"")</f>
        <v/>
      </c>
      <c r="M195" s="41" t="str">
        <f aca="false">IF(AND(A195&lt;&gt;"",D195&gt;0.005),M194+G195+H195+I195,"")</f>
        <v/>
      </c>
      <c r="N195" s="43" t="str">
        <f aca="false">IF(B195="","",YEAR(B195))</f>
        <v/>
      </c>
      <c r="O195" s="44" t="n">
        <f aca="false">IF(AND(A195&lt;&gt;"",D195&gt;0.005),J195,0)</f>
        <v>0</v>
      </c>
      <c r="P195" s="44" t="n">
        <f aca="false">R194</f>
        <v>0</v>
      </c>
      <c r="Q195" s="44" t="n">
        <f aca="false">IF(AND(P195&gt;0.005,188&lt;=NPer),ROUND(P195*RP,2),0)</f>
        <v>0</v>
      </c>
      <c r="R195" s="44" t="n">
        <f aca="false">IF(AND(P195&gt;0.005,188&lt;=NPer),ROUND(P195-IF(188&lt;=Grace,0,IF(188=NPer,P195,IF(Method="Equal principal (reducing payments)",MIN(ROUND(EqPrin,2),P195),MIN(ROUND(Annuity-Q195,2),P195)))),2),0)</f>
        <v>0</v>
      </c>
    </row>
    <row r="196" customFormat="false" ht="15" hidden="false" customHeight="false" outlineLevel="0" collapsed="false">
      <c r="A196" s="38" t="str">
        <f aca="false">IF(AND(N(K195)&gt;0.005,A195&lt;NPer),A195+1,"")</f>
        <v/>
      </c>
      <c r="B196" s="39" t="str">
        <f aca="false">IF(A196="","",EDATE(Disb,A196*MPP))</f>
        <v/>
      </c>
      <c r="C196" s="40" t="str">
        <f aca="false">IF(A196="","",IF(A196&lt;=Grace,"Grace","Repayment"))</f>
        <v/>
      </c>
      <c r="D196" s="41" t="str">
        <f aca="false">IF(A196="","",K195)</f>
        <v/>
      </c>
      <c r="E196" s="41" t="str">
        <f aca="false">IF(AND(A196&lt;&gt;"",D196&gt;0.005),F196+G196,"")</f>
        <v/>
      </c>
      <c r="F196" s="41" t="str">
        <f aca="false">IF(AND(A196&lt;&gt;"",D196&gt;0.005),ROUND(D196*RP,2),"")</f>
        <v/>
      </c>
      <c r="G196" s="41" t="str">
        <f aca="false">IF(AND(A196&lt;&gt;"",D196&gt;0.005),IF(A196&lt;=Grace,0,IF(A196=NPer,D196,IF(Method="Equal principal (reducing payments)",MIN(ROUND(EqPrin,2),D196),MIN(ROUND(Annuity-F196,2),D196)))),"")</f>
        <v/>
      </c>
      <c r="H196" s="41" t="str">
        <f aca="false">IF(AND(A196&lt;&gt;"",D196&gt;0.005),IF(A196&lt;=Grace,0,MIN(Extra,D196-G196)),"")</f>
        <v/>
      </c>
      <c r="I196" s="41" t="str">
        <f aca="false">IF(AND(A196&lt;&gt;"",D196&gt;0.005),MIN(SUMIF(LumpN,A196,LumpAmt),D196-G196-H196),"")</f>
        <v/>
      </c>
      <c r="J196" s="42" t="str">
        <f aca="false">IF(AND(A196&lt;&gt;"",D196&gt;0.005),E196+H196+I196,"")</f>
        <v/>
      </c>
      <c r="K196" s="42" t="str">
        <f aca="false">IF(AND(A196&lt;&gt;"",D196&gt;0.005),ROUND(D196-G196-H196-I196,2),"")</f>
        <v/>
      </c>
      <c r="L196" s="41" t="str">
        <f aca="false">IF(AND(A196&lt;&gt;"",D196&gt;0.005),L195+F196,"")</f>
        <v/>
      </c>
      <c r="M196" s="41" t="str">
        <f aca="false">IF(AND(A196&lt;&gt;"",D196&gt;0.005),M195+G196+H196+I196,"")</f>
        <v/>
      </c>
      <c r="N196" s="43" t="str">
        <f aca="false">IF(B196="","",YEAR(B196))</f>
        <v/>
      </c>
      <c r="O196" s="44" t="n">
        <f aca="false">IF(AND(A196&lt;&gt;"",D196&gt;0.005),J196,0)</f>
        <v>0</v>
      </c>
      <c r="P196" s="44" t="n">
        <f aca="false">R195</f>
        <v>0</v>
      </c>
      <c r="Q196" s="44" t="n">
        <f aca="false">IF(AND(P196&gt;0.005,189&lt;=NPer),ROUND(P196*RP,2),0)</f>
        <v>0</v>
      </c>
      <c r="R196" s="44" t="n">
        <f aca="false">IF(AND(P196&gt;0.005,189&lt;=NPer),ROUND(P196-IF(189&lt;=Grace,0,IF(189=NPer,P196,IF(Method="Equal principal (reducing payments)",MIN(ROUND(EqPrin,2),P196),MIN(ROUND(Annuity-Q196,2),P196)))),2),0)</f>
        <v>0</v>
      </c>
    </row>
    <row r="197" customFormat="false" ht="15" hidden="false" customHeight="false" outlineLevel="0" collapsed="false">
      <c r="A197" s="38" t="str">
        <f aca="false">IF(AND(N(K196)&gt;0.005,A196&lt;NPer),A196+1,"")</f>
        <v/>
      </c>
      <c r="B197" s="39" t="str">
        <f aca="false">IF(A197="","",EDATE(Disb,A197*MPP))</f>
        <v/>
      </c>
      <c r="C197" s="40" t="str">
        <f aca="false">IF(A197="","",IF(A197&lt;=Grace,"Grace","Repayment"))</f>
        <v/>
      </c>
      <c r="D197" s="41" t="str">
        <f aca="false">IF(A197="","",K196)</f>
        <v/>
      </c>
      <c r="E197" s="41" t="str">
        <f aca="false">IF(AND(A197&lt;&gt;"",D197&gt;0.005),F197+G197,"")</f>
        <v/>
      </c>
      <c r="F197" s="41" t="str">
        <f aca="false">IF(AND(A197&lt;&gt;"",D197&gt;0.005),ROUND(D197*RP,2),"")</f>
        <v/>
      </c>
      <c r="G197" s="41" t="str">
        <f aca="false">IF(AND(A197&lt;&gt;"",D197&gt;0.005),IF(A197&lt;=Grace,0,IF(A197=NPer,D197,IF(Method="Equal principal (reducing payments)",MIN(ROUND(EqPrin,2),D197),MIN(ROUND(Annuity-F197,2),D197)))),"")</f>
        <v/>
      </c>
      <c r="H197" s="41" t="str">
        <f aca="false">IF(AND(A197&lt;&gt;"",D197&gt;0.005),IF(A197&lt;=Grace,0,MIN(Extra,D197-G197)),"")</f>
        <v/>
      </c>
      <c r="I197" s="41" t="str">
        <f aca="false">IF(AND(A197&lt;&gt;"",D197&gt;0.005),MIN(SUMIF(LumpN,A197,LumpAmt),D197-G197-H197),"")</f>
        <v/>
      </c>
      <c r="J197" s="42" t="str">
        <f aca="false">IF(AND(A197&lt;&gt;"",D197&gt;0.005),E197+H197+I197,"")</f>
        <v/>
      </c>
      <c r="K197" s="42" t="str">
        <f aca="false">IF(AND(A197&lt;&gt;"",D197&gt;0.005),ROUND(D197-G197-H197-I197,2),"")</f>
        <v/>
      </c>
      <c r="L197" s="41" t="str">
        <f aca="false">IF(AND(A197&lt;&gt;"",D197&gt;0.005),L196+F197,"")</f>
        <v/>
      </c>
      <c r="M197" s="41" t="str">
        <f aca="false">IF(AND(A197&lt;&gt;"",D197&gt;0.005),M196+G197+H197+I197,"")</f>
        <v/>
      </c>
      <c r="N197" s="43" t="str">
        <f aca="false">IF(B197="","",YEAR(B197))</f>
        <v/>
      </c>
      <c r="O197" s="44" t="n">
        <f aca="false">IF(AND(A197&lt;&gt;"",D197&gt;0.005),J197,0)</f>
        <v>0</v>
      </c>
      <c r="P197" s="44" t="n">
        <f aca="false">R196</f>
        <v>0</v>
      </c>
      <c r="Q197" s="44" t="n">
        <f aca="false">IF(AND(P197&gt;0.005,190&lt;=NPer),ROUND(P197*RP,2),0)</f>
        <v>0</v>
      </c>
      <c r="R197" s="44" t="n">
        <f aca="false">IF(AND(P197&gt;0.005,190&lt;=NPer),ROUND(P197-IF(190&lt;=Grace,0,IF(190=NPer,P197,IF(Method="Equal principal (reducing payments)",MIN(ROUND(EqPrin,2),P197),MIN(ROUND(Annuity-Q197,2),P197)))),2),0)</f>
        <v>0</v>
      </c>
    </row>
    <row r="198" customFormat="false" ht="15" hidden="false" customHeight="false" outlineLevel="0" collapsed="false">
      <c r="A198" s="38" t="str">
        <f aca="false">IF(AND(N(K197)&gt;0.005,A197&lt;NPer),A197+1,"")</f>
        <v/>
      </c>
      <c r="B198" s="39" t="str">
        <f aca="false">IF(A198="","",EDATE(Disb,A198*MPP))</f>
        <v/>
      </c>
      <c r="C198" s="40" t="str">
        <f aca="false">IF(A198="","",IF(A198&lt;=Grace,"Grace","Repayment"))</f>
        <v/>
      </c>
      <c r="D198" s="41" t="str">
        <f aca="false">IF(A198="","",K197)</f>
        <v/>
      </c>
      <c r="E198" s="41" t="str">
        <f aca="false">IF(AND(A198&lt;&gt;"",D198&gt;0.005),F198+G198,"")</f>
        <v/>
      </c>
      <c r="F198" s="41" t="str">
        <f aca="false">IF(AND(A198&lt;&gt;"",D198&gt;0.005),ROUND(D198*RP,2),"")</f>
        <v/>
      </c>
      <c r="G198" s="41" t="str">
        <f aca="false">IF(AND(A198&lt;&gt;"",D198&gt;0.005),IF(A198&lt;=Grace,0,IF(A198=NPer,D198,IF(Method="Equal principal (reducing payments)",MIN(ROUND(EqPrin,2),D198),MIN(ROUND(Annuity-F198,2),D198)))),"")</f>
        <v/>
      </c>
      <c r="H198" s="41" t="str">
        <f aca="false">IF(AND(A198&lt;&gt;"",D198&gt;0.005),IF(A198&lt;=Grace,0,MIN(Extra,D198-G198)),"")</f>
        <v/>
      </c>
      <c r="I198" s="41" t="str">
        <f aca="false">IF(AND(A198&lt;&gt;"",D198&gt;0.005),MIN(SUMIF(LumpN,A198,LumpAmt),D198-G198-H198),"")</f>
        <v/>
      </c>
      <c r="J198" s="42" t="str">
        <f aca="false">IF(AND(A198&lt;&gt;"",D198&gt;0.005),E198+H198+I198,"")</f>
        <v/>
      </c>
      <c r="K198" s="42" t="str">
        <f aca="false">IF(AND(A198&lt;&gt;"",D198&gt;0.005),ROUND(D198-G198-H198-I198,2),"")</f>
        <v/>
      </c>
      <c r="L198" s="41" t="str">
        <f aca="false">IF(AND(A198&lt;&gt;"",D198&gt;0.005),L197+F198,"")</f>
        <v/>
      </c>
      <c r="M198" s="41" t="str">
        <f aca="false">IF(AND(A198&lt;&gt;"",D198&gt;0.005),M197+G198+H198+I198,"")</f>
        <v/>
      </c>
      <c r="N198" s="43" t="str">
        <f aca="false">IF(B198="","",YEAR(B198))</f>
        <v/>
      </c>
      <c r="O198" s="44" t="n">
        <f aca="false">IF(AND(A198&lt;&gt;"",D198&gt;0.005),J198,0)</f>
        <v>0</v>
      </c>
      <c r="P198" s="44" t="n">
        <f aca="false">R197</f>
        <v>0</v>
      </c>
      <c r="Q198" s="44" t="n">
        <f aca="false">IF(AND(P198&gt;0.005,191&lt;=NPer),ROUND(P198*RP,2),0)</f>
        <v>0</v>
      </c>
      <c r="R198" s="44" t="n">
        <f aca="false">IF(AND(P198&gt;0.005,191&lt;=NPer),ROUND(P198-IF(191&lt;=Grace,0,IF(191=NPer,P198,IF(Method="Equal principal (reducing payments)",MIN(ROUND(EqPrin,2),P198),MIN(ROUND(Annuity-Q198,2),P198)))),2),0)</f>
        <v>0</v>
      </c>
    </row>
    <row r="199" customFormat="false" ht="15" hidden="false" customHeight="false" outlineLevel="0" collapsed="false">
      <c r="A199" s="38" t="str">
        <f aca="false">IF(AND(N(K198)&gt;0.005,A198&lt;NPer),A198+1,"")</f>
        <v/>
      </c>
      <c r="B199" s="39" t="str">
        <f aca="false">IF(A199="","",EDATE(Disb,A199*MPP))</f>
        <v/>
      </c>
      <c r="C199" s="40" t="str">
        <f aca="false">IF(A199="","",IF(A199&lt;=Grace,"Grace","Repayment"))</f>
        <v/>
      </c>
      <c r="D199" s="41" t="str">
        <f aca="false">IF(A199="","",K198)</f>
        <v/>
      </c>
      <c r="E199" s="41" t="str">
        <f aca="false">IF(AND(A199&lt;&gt;"",D199&gt;0.005),F199+G199,"")</f>
        <v/>
      </c>
      <c r="F199" s="41" t="str">
        <f aca="false">IF(AND(A199&lt;&gt;"",D199&gt;0.005),ROUND(D199*RP,2),"")</f>
        <v/>
      </c>
      <c r="G199" s="41" t="str">
        <f aca="false">IF(AND(A199&lt;&gt;"",D199&gt;0.005),IF(A199&lt;=Grace,0,IF(A199=NPer,D199,IF(Method="Equal principal (reducing payments)",MIN(ROUND(EqPrin,2),D199),MIN(ROUND(Annuity-F199,2),D199)))),"")</f>
        <v/>
      </c>
      <c r="H199" s="41" t="str">
        <f aca="false">IF(AND(A199&lt;&gt;"",D199&gt;0.005),IF(A199&lt;=Grace,0,MIN(Extra,D199-G199)),"")</f>
        <v/>
      </c>
      <c r="I199" s="41" t="str">
        <f aca="false">IF(AND(A199&lt;&gt;"",D199&gt;0.005),MIN(SUMIF(LumpN,A199,LumpAmt),D199-G199-H199),"")</f>
        <v/>
      </c>
      <c r="J199" s="42" t="str">
        <f aca="false">IF(AND(A199&lt;&gt;"",D199&gt;0.005),E199+H199+I199,"")</f>
        <v/>
      </c>
      <c r="K199" s="42" t="str">
        <f aca="false">IF(AND(A199&lt;&gt;"",D199&gt;0.005),ROUND(D199-G199-H199-I199,2),"")</f>
        <v/>
      </c>
      <c r="L199" s="41" t="str">
        <f aca="false">IF(AND(A199&lt;&gt;"",D199&gt;0.005),L198+F199,"")</f>
        <v/>
      </c>
      <c r="M199" s="41" t="str">
        <f aca="false">IF(AND(A199&lt;&gt;"",D199&gt;0.005),M198+G199+H199+I199,"")</f>
        <v/>
      </c>
      <c r="N199" s="43" t="str">
        <f aca="false">IF(B199="","",YEAR(B199))</f>
        <v/>
      </c>
      <c r="O199" s="44" t="n">
        <f aca="false">IF(AND(A199&lt;&gt;"",D199&gt;0.005),J199,0)</f>
        <v>0</v>
      </c>
      <c r="P199" s="44" t="n">
        <f aca="false">R198</f>
        <v>0</v>
      </c>
      <c r="Q199" s="44" t="n">
        <f aca="false">IF(AND(P199&gt;0.005,192&lt;=NPer),ROUND(P199*RP,2),0)</f>
        <v>0</v>
      </c>
      <c r="R199" s="44" t="n">
        <f aca="false">IF(AND(P199&gt;0.005,192&lt;=NPer),ROUND(P199-IF(192&lt;=Grace,0,IF(192=NPer,P199,IF(Method="Equal principal (reducing payments)",MIN(ROUND(EqPrin,2),P199),MIN(ROUND(Annuity-Q199,2),P199)))),2),0)</f>
        <v>0</v>
      </c>
    </row>
    <row r="200" customFormat="false" ht="15" hidden="false" customHeight="false" outlineLevel="0" collapsed="false">
      <c r="A200" s="38" t="str">
        <f aca="false">IF(AND(N(K199)&gt;0.005,A199&lt;NPer),A199+1,"")</f>
        <v/>
      </c>
      <c r="B200" s="39" t="str">
        <f aca="false">IF(A200="","",EDATE(Disb,A200*MPP))</f>
        <v/>
      </c>
      <c r="C200" s="40" t="str">
        <f aca="false">IF(A200="","",IF(A200&lt;=Grace,"Grace","Repayment"))</f>
        <v/>
      </c>
      <c r="D200" s="41" t="str">
        <f aca="false">IF(A200="","",K199)</f>
        <v/>
      </c>
      <c r="E200" s="41" t="str">
        <f aca="false">IF(AND(A200&lt;&gt;"",D200&gt;0.005),F200+G200,"")</f>
        <v/>
      </c>
      <c r="F200" s="41" t="str">
        <f aca="false">IF(AND(A200&lt;&gt;"",D200&gt;0.005),ROUND(D200*RP,2),"")</f>
        <v/>
      </c>
      <c r="G200" s="41" t="str">
        <f aca="false">IF(AND(A200&lt;&gt;"",D200&gt;0.005),IF(A200&lt;=Grace,0,IF(A200=NPer,D200,IF(Method="Equal principal (reducing payments)",MIN(ROUND(EqPrin,2),D200),MIN(ROUND(Annuity-F200,2),D200)))),"")</f>
        <v/>
      </c>
      <c r="H200" s="41" t="str">
        <f aca="false">IF(AND(A200&lt;&gt;"",D200&gt;0.005),IF(A200&lt;=Grace,0,MIN(Extra,D200-G200)),"")</f>
        <v/>
      </c>
      <c r="I200" s="41" t="str">
        <f aca="false">IF(AND(A200&lt;&gt;"",D200&gt;0.005),MIN(SUMIF(LumpN,A200,LumpAmt),D200-G200-H200),"")</f>
        <v/>
      </c>
      <c r="J200" s="42" t="str">
        <f aca="false">IF(AND(A200&lt;&gt;"",D200&gt;0.005),E200+H200+I200,"")</f>
        <v/>
      </c>
      <c r="K200" s="42" t="str">
        <f aca="false">IF(AND(A200&lt;&gt;"",D200&gt;0.005),ROUND(D200-G200-H200-I200,2),"")</f>
        <v/>
      </c>
      <c r="L200" s="41" t="str">
        <f aca="false">IF(AND(A200&lt;&gt;"",D200&gt;0.005),L199+F200,"")</f>
        <v/>
      </c>
      <c r="M200" s="41" t="str">
        <f aca="false">IF(AND(A200&lt;&gt;"",D200&gt;0.005),M199+G200+H200+I200,"")</f>
        <v/>
      </c>
      <c r="N200" s="43" t="str">
        <f aca="false">IF(B200="","",YEAR(B200))</f>
        <v/>
      </c>
      <c r="O200" s="44" t="n">
        <f aca="false">IF(AND(A200&lt;&gt;"",D200&gt;0.005),J200,0)</f>
        <v>0</v>
      </c>
      <c r="P200" s="44" t="n">
        <f aca="false">R199</f>
        <v>0</v>
      </c>
      <c r="Q200" s="44" t="n">
        <f aca="false">IF(AND(P200&gt;0.005,193&lt;=NPer),ROUND(P200*RP,2),0)</f>
        <v>0</v>
      </c>
      <c r="R200" s="44" t="n">
        <f aca="false">IF(AND(P200&gt;0.005,193&lt;=NPer),ROUND(P200-IF(193&lt;=Grace,0,IF(193=NPer,P200,IF(Method="Equal principal (reducing payments)",MIN(ROUND(EqPrin,2),P200),MIN(ROUND(Annuity-Q200,2),P200)))),2),0)</f>
        <v>0</v>
      </c>
    </row>
    <row r="201" customFormat="false" ht="15" hidden="false" customHeight="false" outlineLevel="0" collapsed="false">
      <c r="A201" s="38" t="str">
        <f aca="false">IF(AND(N(K200)&gt;0.005,A200&lt;NPer),A200+1,"")</f>
        <v/>
      </c>
      <c r="B201" s="39" t="str">
        <f aca="false">IF(A201="","",EDATE(Disb,A201*MPP))</f>
        <v/>
      </c>
      <c r="C201" s="40" t="str">
        <f aca="false">IF(A201="","",IF(A201&lt;=Grace,"Grace","Repayment"))</f>
        <v/>
      </c>
      <c r="D201" s="41" t="str">
        <f aca="false">IF(A201="","",K200)</f>
        <v/>
      </c>
      <c r="E201" s="41" t="str">
        <f aca="false">IF(AND(A201&lt;&gt;"",D201&gt;0.005),F201+G201,"")</f>
        <v/>
      </c>
      <c r="F201" s="41" t="str">
        <f aca="false">IF(AND(A201&lt;&gt;"",D201&gt;0.005),ROUND(D201*RP,2),"")</f>
        <v/>
      </c>
      <c r="G201" s="41" t="str">
        <f aca="false">IF(AND(A201&lt;&gt;"",D201&gt;0.005),IF(A201&lt;=Grace,0,IF(A201=NPer,D201,IF(Method="Equal principal (reducing payments)",MIN(ROUND(EqPrin,2),D201),MIN(ROUND(Annuity-F201,2),D201)))),"")</f>
        <v/>
      </c>
      <c r="H201" s="41" t="str">
        <f aca="false">IF(AND(A201&lt;&gt;"",D201&gt;0.005),IF(A201&lt;=Grace,0,MIN(Extra,D201-G201)),"")</f>
        <v/>
      </c>
      <c r="I201" s="41" t="str">
        <f aca="false">IF(AND(A201&lt;&gt;"",D201&gt;0.005),MIN(SUMIF(LumpN,A201,LumpAmt),D201-G201-H201),"")</f>
        <v/>
      </c>
      <c r="J201" s="42" t="str">
        <f aca="false">IF(AND(A201&lt;&gt;"",D201&gt;0.005),E201+H201+I201,"")</f>
        <v/>
      </c>
      <c r="K201" s="42" t="str">
        <f aca="false">IF(AND(A201&lt;&gt;"",D201&gt;0.005),ROUND(D201-G201-H201-I201,2),"")</f>
        <v/>
      </c>
      <c r="L201" s="41" t="str">
        <f aca="false">IF(AND(A201&lt;&gt;"",D201&gt;0.005),L200+F201,"")</f>
        <v/>
      </c>
      <c r="M201" s="41" t="str">
        <f aca="false">IF(AND(A201&lt;&gt;"",D201&gt;0.005),M200+G201+H201+I201,"")</f>
        <v/>
      </c>
      <c r="N201" s="43" t="str">
        <f aca="false">IF(B201="","",YEAR(B201))</f>
        <v/>
      </c>
      <c r="O201" s="44" t="n">
        <f aca="false">IF(AND(A201&lt;&gt;"",D201&gt;0.005),J201,0)</f>
        <v>0</v>
      </c>
      <c r="P201" s="44" t="n">
        <f aca="false">R200</f>
        <v>0</v>
      </c>
      <c r="Q201" s="44" t="n">
        <f aca="false">IF(AND(P201&gt;0.005,194&lt;=NPer),ROUND(P201*RP,2),0)</f>
        <v>0</v>
      </c>
      <c r="R201" s="44" t="n">
        <f aca="false">IF(AND(P201&gt;0.005,194&lt;=NPer),ROUND(P201-IF(194&lt;=Grace,0,IF(194=NPer,P201,IF(Method="Equal principal (reducing payments)",MIN(ROUND(EqPrin,2),P201),MIN(ROUND(Annuity-Q201,2),P201)))),2),0)</f>
        <v>0</v>
      </c>
    </row>
    <row r="202" customFormat="false" ht="15" hidden="false" customHeight="false" outlineLevel="0" collapsed="false">
      <c r="A202" s="38" t="str">
        <f aca="false">IF(AND(N(K201)&gt;0.005,A201&lt;NPer),A201+1,"")</f>
        <v/>
      </c>
      <c r="B202" s="39" t="str">
        <f aca="false">IF(A202="","",EDATE(Disb,A202*MPP))</f>
        <v/>
      </c>
      <c r="C202" s="40" t="str">
        <f aca="false">IF(A202="","",IF(A202&lt;=Grace,"Grace","Repayment"))</f>
        <v/>
      </c>
      <c r="D202" s="41" t="str">
        <f aca="false">IF(A202="","",K201)</f>
        <v/>
      </c>
      <c r="E202" s="41" t="str">
        <f aca="false">IF(AND(A202&lt;&gt;"",D202&gt;0.005),F202+G202,"")</f>
        <v/>
      </c>
      <c r="F202" s="41" t="str">
        <f aca="false">IF(AND(A202&lt;&gt;"",D202&gt;0.005),ROUND(D202*RP,2),"")</f>
        <v/>
      </c>
      <c r="G202" s="41" t="str">
        <f aca="false">IF(AND(A202&lt;&gt;"",D202&gt;0.005),IF(A202&lt;=Grace,0,IF(A202=NPer,D202,IF(Method="Equal principal (reducing payments)",MIN(ROUND(EqPrin,2),D202),MIN(ROUND(Annuity-F202,2),D202)))),"")</f>
        <v/>
      </c>
      <c r="H202" s="41" t="str">
        <f aca="false">IF(AND(A202&lt;&gt;"",D202&gt;0.005),IF(A202&lt;=Grace,0,MIN(Extra,D202-G202)),"")</f>
        <v/>
      </c>
      <c r="I202" s="41" t="str">
        <f aca="false">IF(AND(A202&lt;&gt;"",D202&gt;0.005),MIN(SUMIF(LumpN,A202,LumpAmt),D202-G202-H202),"")</f>
        <v/>
      </c>
      <c r="J202" s="42" t="str">
        <f aca="false">IF(AND(A202&lt;&gt;"",D202&gt;0.005),E202+H202+I202,"")</f>
        <v/>
      </c>
      <c r="K202" s="42" t="str">
        <f aca="false">IF(AND(A202&lt;&gt;"",D202&gt;0.005),ROUND(D202-G202-H202-I202,2),"")</f>
        <v/>
      </c>
      <c r="L202" s="41" t="str">
        <f aca="false">IF(AND(A202&lt;&gt;"",D202&gt;0.005),L201+F202,"")</f>
        <v/>
      </c>
      <c r="M202" s="41" t="str">
        <f aca="false">IF(AND(A202&lt;&gt;"",D202&gt;0.005),M201+G202+H202+I202,"")</f>
        <v/>
      </c>
      <c r="N202" s="43" t="str">
        <f aca="false">IF(B202="","",YEAR(B202))</f>
        <v/>
      </c>
      <c r="O202" s="44" t="n">
        <f aca="false">IF(AND(A202&lt;&gt;"",D202&gt;0.005),J202,0)</f>
        <v>0</v>
      </c>
      <c r="P202" s="44" t="n">
        <f aca="false">R201</f>
        <v>0</v>
      </c>
      <c r="Q202" s="44" t="n">
        <f aca="false">IF(AND(P202&gt;0.005,195&lt;=NPer),ROUND(P202*RP,2),0)</f>
        <v>0</v>
      </c>
      <c r="R202" s="44" t="n">
        <f aca="false">IF(AND(P202&gt;0.005,195&lt;=NPer),ROUND(P202-IF(195&lt;=Grace,0,IF(195=NPer,P202,IF(Method="Equal principal (reducing payments)",MIN(ROUND(EqPrin,2),P202),MIN(ROUND(Annuity-Q202,2),P202)))),2),0)</f>
        <v>0</v>
      </c>
    </row>
    <row r="203" customFormat="false" ht="15" hidden="false" customHeight="false" outlineLevel="0" collapsed="false">
      <c r="A203" s="38" t="str">
        <f aca="false">IF(AND(N(K202)&gt;0.005,A202&lt;NPer),A202+1,"")</f>
        <v/>
      </c>
      <c r="B203" s="39" t="str">
        <f aca="false">IF(A203="","",EDATE(Disb,A203*MPP))</f>
        <v/>
      </c>
      <c r="C203" s="40" t="str">
        <f aca="false">IF(A203="","",IF(A203&lt;=Grace,"Grace","Repayment"))</f>
        <v/>
      </c>
      <c r="D203" s="41" t="str">
        <f aca="false">IF(A203="","",K202)</f>
        <v/>
      </c>
      <c r="E203" s="41" t="str">
        <f aca="false">IF(AND(A203&lt;&gt;"",D203&gt;0.005),F203+G203,"")</f>
        <v/>
      </c>
      <c r="F203" s="41" t="str">
        <f aca="false">IF(AND(A203&lt;&gt;"",D203&gt;0.005),ROUND(D203*RP,2),"")</f>
        <v/>
      </c>
      <c r="G203" s="41" t="str">
        <f aca="false">IF(AND(A203&lt;&gt;"",D203&gt;0.005),IF(A203&lt;=Grace,0,IF(A203=NPer,D203,IF(Method="Equal principal (reducing payments)",MIN(ROUND(EqPrin,2),D203),MIN(ROUND(Annuity-F203,2),D203)))),"")</f>
        <v/>
      </c>
      <c r="H203" s="41" t="str">
        <f aca="false">IF(AND(A203&lt;&gt;"",D203&gt;0.005),IF(A203&lt;=Grace,0,MIN(Extra,D203-G203)),"")</f>
        <v/>
      </c>
      <c r="I203" s="41" t="str">
        <f aca="false">IF(AND(A203&lt;&gt;"",D203&gt;0.005),MIN(SUMIF(LumpN,A203,LumpAmt),D203-G203-H203),"")</f>
        <v/>
      </c>
      <c r="J203" s="42" t="str">
        <f aca="false">IF(AND(A203&lt;&gt;"",D203&gt;0.005),E203+H203+I203,"")</f>
        <v/>
      </c>
      <c r="K203" s="42" t="str">
        <f aca="false">IF(AND(A203&lt;&gt;"",D203&gt;0.005),ROUND(D203-G203-H203-I203,2),"")</f>
        <v/>
      </c>
      <c r="L203" s="41" t="str">
        <f aca="false">IF(AND(A203&lt;&gt;"",D203&gt;0.005),L202+F203,"")</f>
        <v/>
      </c>
      <c r="M203" s="41" t="str">
        <f aca="false">IF(AND(A203&lt;&gt;"",D203&gt;0.005),M202+G203+H203+I203,"")</f>
        <v/>
      </c>
      <c r="N203" s="43" t="str">
        <f aca="false">IF(B203="","",YEAR(B203))</f>
        <v/>
      </c>
      <c r="O203" s="44" t="n">
        <f aca="false">IF(AND(A203&lt;&gt;"",D203&gt;0.005),J203,0)</f>
        <v>0</v>
      </c>
      <c r="P203" s="44" t="n">
        <f aca="false">R202</f>
        <v>0</v>
      </c>
      <c r="Q203" s="44" t="n">
        <f aca="false">IF(AND(P203&gt;0.005,196&lt;=NPer),ROUND(P203*RP,2),0)</f>
        <v>0</v>
      </c>
      <c r="R203" s="44" t="n">
        <f aca="false">IF(AND(P203&gt;0.005,196&lt;=NPer),ROUND(P203-IF(196&lt;=Grace,0,IF(196=NPer,P203,IF(Method="Equal principal (reducing payments)",MIN(ROUND(EqPrin,2),P203),MIN(ROUND(Annuity-Q203,2),P203)))),2),0)</f>
        <v>0</v>
      </c>
    </row>
    <row r="204" customFormat="false" ht="15" hidden="false" customHeight="false" outlineLevel="0" collapsed="false">
      <c r="A204" s="38" t="str">
        <f aca="false">IF(AND(N(K203)&gt;0.005,A203&lt;NPer),A203+1,"")</f>
        <v/>
      </c>
      <c r="B204" s="39" t="str">
        <f aca="false">IF(A204="","",EDATE(Disb,A204*MPP))</f>
        <v/>
      </c>
      <c r="C204" s="40" t="str">
        <f aca="false">IF(A204="","",IF(A204&lt;=Grace,"Grace","Repayment"))</f>
        <v/>
      </c>
      <c r="D204" s="41" t="str">
        <f aca="false">IF(A204="","",K203)</f>
        <v/>
      </c>
      <c r="E204" s="41" t="str">
        <f aca="false">IF(AND(A204&lt;&gt;"",D204&gt;0.005),F204+G204,"")</f>
        <v/>
      </c>
      <c r="F204" s="41" t="str">
        <f aca="false">IF(AND(A204&lt;&gt;"",D204&gt;0.005),ROUND(D204*RP,2),"")</f>
        <v/>
      </c>
      <c r="G204" s="41" t="str">
        <f aca="false">IF(AND(A204&lt;&gt;"",D204&gt;0.005),IF(A204&lt;=Grace,0,IF(A204=NPer,D204,IF(Method="Equal principal (reducing payments)",MIN(ROUND(EqPrin,2),D204),MIN(ROUND(Annuity-F204,2),D204)))),"")</f>
        <v/>
      </c>
      <c r="H204" s="41" t="str">
        <f aca="false">IF(AND(A204&lt;&gt;"",D204&gt;0.005),IF(A204&lt;=Grace,0,MIN(Extra,D204-G204)),"")</f>
        <v/>
      </c>
      <c r="I204" s="41" t="str">
        <f aca="false">IF(AND(A204&lt;&gt;"",D204&gt;0.005),MIN(SUMIF(LumpN,A204,LumpAmt),D204-G204-H204),"")</f>
        <v/>
      </c>
      <c r="J204" s="42" t="str">
        <f aca="false">IF(AND(A204&lt;&gt;"",D204&gt;0.005),E204+H204+I204,"")</f>
        <v/>
      </c>
      <c r="K204" s="42" t="str">
        <f aca="false">IF(AND(A204&lt;&gt;"",D204&gt;0.005),ROUND(D204-G204-H204-I204,2),"")</f>
        <v/>
      </c>
      <c r="L204" s="41" t="str">
        <f aca="false">IF(AND(A204&lt;&gt;"",D204&gt;0.005),L203+F204,"")</f>
        <v/>
      </c>
      <c r="M204" s="41" t="str">
        <f aca="false">IF(AND(A204&lt;&gt;"",D204&gt;0.005),M203+G204+H204+I204,"")</f>
        <v/>
      </c>
      <c r="N204" s="43" t="str">
        <f aca="false">IF(B204="","",YEAR(B204))</f>
        <v/>
      </c>
      <c r="O204" s="44" t="n">
        <f aca="false">IF(AND(A204&lt;&gt;"",D204&gt;0.005),J204,0)</f>
        <v>0</v>
      </c>
      <c r="P204" s="44" t="n">
        <f aca="false">R203</f>
        <v>0</v>
      </c>
      <c r="Q204" s="44" t="n">
        <f aca="false">IF(AND(P204&gt;0.005,197&lt;=NPer),ROUND(P204*RP,2),0)</f>
        <v>0</v>
      </c>
      <c r="R204" s="44" t="n">
        <f aca="false">IF(AND(P204&gt;0.005,197&lt;=NPer),ROUND(P204-IF(197&lt;=Grace,0,IF(197=NPer,P204,IF(Method="Equal principal (reducing payments)",MIN(ROUND(EqPrin,2),P204),MIN(ROUND(Annuity-Q204,2),P204)))),2),0)</f>
        <v>0</v>
      </c>
    </row>
    <row r="205" customFormat="false" ht="15" hidden="false" customHeight="false" outlineLevel="0" collapsed="false">
      <c r="A205" s="38" t="str">
        <f aca="false">IF(AND(N(K204)&gt;0.005,A204&lt;NPer),A204+1,"")</f>
        <v/>
      </c>
      <c r="B205" s="39" t="str">
        <f aca="false">IF(A205="","",EDATE(Disb,A205*MPP))</f>
        <v/>
      </c>
      <c r="C205" s="40" t="str">
        <f aca="false">IF(A205="","",IF(A205&lt;=Grace,"Grace","Repayment"))</f>
        <v/>
      </c>
      <c r="D205" s="41" t="str">
        <f aca="false">IF(A205="","",K204)</f>
        <v/>
      </c>
      <c r="E205" s="41" t="str">
        <f aca="false">IF(AND(A205&lt;&gt;"",D205&gt;0.005),F205+G205,"")</f>
        <v/>
      </c>
      <c r="F205" s="41" t="str">
        <f aca="false">IF(AND(A205&lt;&gt;"",D205&gt;0.005),ROUND(D205*RP,2),"")</f>
        <v/>
      </c>
      <c r="G205" s="41" t="str">
        <f aca="false">IF(AND(A205&lt;&gt;"",D205&gt;0.005),IF(A205&lt;=Grace,0,IF(A205=NPer,D205,IF(Method="Equal principal (reducing payments)",MIN(ROUND(EqPrin,2),D205),MIN(ROUND(Annuity-F205,2),D205)))),"")</f>
        <v/>
      </c>
      <c r="H205" s="41" t="str">
        <f aca="false">IF(AND(A205&lt;&gt;"",D205&gt;0.005),IF(A205&lt;=Grace,0,MIN(Extra,D205-G205)),"")</f>
        <v/>
      </c>
      <c r="I205" s="41" t="str">
        <f aca="false">IF(AND(A205&lt;&gt;"",D205&gt;0.005),MIN(SUMIF(LumpN,A205,LumpAmt),D205-G205-H205),"")</f>
        <v/>
      </c>
      <c r="J205" s="42" t="str">
        <f aca="false">IF(AND(A205&lt;&gt;"",D205&gt;0.005),E205+H205+I205,"")</f>
        <v/>
      </c>
      <c r="K205" s="42" t="str">
        <f aca="false">IF(AND(A205&lt;&gt;"",D205&gt;0.005),ROUND(D205-G205-H205-I205,2),"")</f>
        <v/>
      </c>
      <c r="L205" s="41" t="str">
        <f aca="false">IF(AND(A205&lt;&gt;"",D205&gt;0.005),L204+F205,"")</f>
        <v/>
      </c>
      <c r="M205" s="41" t="str">
        <f aca="false">IF(AND(A205&lt;&gt;"",D205&gt;0.005),M204+G205+H205+I205,"")</f>
        <v/>
      </c>
      <c r="N205" s="43" t="str">
        <f aca="false">IF(B205="","",YEAR(B205))</f>
        <v/>
      </c>
      <c r="O205" s="44" t="n">
        <f aca="false">IF(AND(A205&lt;&gt;"",D205&gt;0.005),J205,0)</f>
        <v>0</v>
      </c>
      <c r="P205" s="44" t="n">
        <f aca="false">R204</f>
        <v>0</v>
      </c>
      <c r="Q205" s="44" t="n">
        <f aca="false">IF(AND(P205&gt;0.005,198&lt;=NPer),ROUND(P205*RP,2),0)</f>
        <v>0</v>
      </c>
      <c r="R205" s="44" t="n">
        <f aca="false">IF(AND(P205&gt;0.005,198&lt;=NPer),ROUND(P205-IF(198&lt;=Grace,0,IF(198=NPer,P205,IF(Method="Equal principal (reducing payments)",MIN(ROUND(EqPrin,2),P205),MIN(ROUND(Annuity-Q205,2),P205)))),2),0)</f>
        <v>0</v>
      </c>
    </row>
    <row r="206" customFormat="false" ht="15" hidden="false" customHeight="false" outlineLevel="0" collapsed="false">
      <c r="A206" s="38" t="str">
        <f aca="false">IF(AND(N(K205)&gt;0.005,A205&lt;NPer),A205+1,"")</f>
        <v/>
      </c>
      <c r="B206" s="39" t="str">
        <f aca="false">IF(A206="","",EDATE(Disb,A206*MPP))</f>
        <v/>
      </c>
      <c r="C206" s="40" t="str">
        <f aca="false">IF(A206="","",IF(A206&lt;=Grace,"Grace","Repayment"))</f>
        <v/>
      </c>
      <c r="D206" s="41" t="str">
        <f aca="false">IF(A206="","",K205)</f>
        <v/>
      </c>
      <c r="E206" s="41" t="str">
        <f aca="false">IF(AND(A206&lt;&gt;"",D206&gt;0.005),F206+G206,"")</f>
        <v/>
      </c>
      <c r="F206" s="41" t="str">
        <f aca="false">IF(AND(A206&lt;&gt;"",D206&gt;0.005),ROUND(D206*RP,2),"")</f>
        <v/>
      </c>
      <c r="G206" s="41" t="str">
        <f aca="false">IF(AND(A206&lt;&gt;"",D206&gt;0.005),IF(A206&lt;=Grace,0,IF(A206=NPer,D206,IF(Method="Equal principal (reducing payments)",MIN(ROUND(EqPrin,2),D206),MIN(ROUND(Annuity-F206,2),D206)))),"")</f>
        <v/>
      </c>
      <c r="H206" s="41" t="str">
        <f aca="false">IF(AND(A206&lt;&gt;"",D206&gt;0.005),IF(A206&lt;=Grace,0,MIN(Extra,D206-G206)),"")</f>
        <v/>
      </c>
      <c r="I206" s="41" t="str">
        <f aca="false">IF(AND(A206&lt;&gt;"",D206&gt;0.005),MIN(SUMIF(LumpN,A206,LumpAmt),D206-G206-H206),"")</f>
        <v/>
      </c>
      <c r="J206" s="42" t="str">
        <f aca="false">IF(AND(A206&lt;&gt;"",D206&gt;0.005),E206+H206+I206,"")</f>
        <v/>
      </c>
      <c r="K206" s="42" t="str">
        <f aca="false">IF(AND(A206&lt;&gt;"",D206&gt;0.005),ROUND(D206-G206-H206-I206,2),"")</f>
        <v/>
      </c>
      <c r="L206" s="41" t="str">
        <f aca="false">IF(AND(A206&lt;&gt;"",D206&gt;0.005),L205+F206,"")</f>
        <v/>
      </c>
      <c r="M206" s="41" t="str">
        <f aca="false">IF(AND(A206&lt;&gt;"",D206&gt;0.005),M205+G206+H206+I206,"")</f>
        <v/>
      </c>
      <c r="N206" s="43" t="str">
        <f aca="false">IF(B206="","",YEAR(B206))</f>
        <v/>
      </c>
      <c r="O206" s="44" t="n">
        <f aca="false">IF(AND(A206&lt;&gt;"",D206&gt;0.005),J206,0)</f>
        <v>0</v>
      </c>
      <c r="P206" s="44" t="n">
        <f aca="false">R205</f>
        <v>0</v>
      </c>
      <c r="Q206" s="44" t="n">
        <f aca="false">IF(AND(P206&gt;0.005,199&lt;=NPer),ROUND(P206*RP,2),0)</f>
        <v>0</v>
      </c>
      <c r="R206" s="44" t="n">
        <f aca="false">IF(AND(P206&gt;0.005,199&lt;=NPer),ROUND(P206-IF(199&lt;=Grace,0,IF(199=NPer,P206,IF(Method="Equal principal (reducing payments)",MIN(ROUND(EqPrin,2),P206),MIN(ROUND(Annuity-Q206,2),P206)))),2),0)</f>
        <v>0</v>
      </c>
    </row>
    <row r="207" customFormat="false" ht="15" hidden="false" customHeight="false" outlineLevel="0" collapsed="false">
      <c r="A207" s="38" t="str">
        <f aca="false">IF(AND(N(K206)&gt;0.005,A206&lt;NPer),A206+1,"")</f>
        <v/>
      </c>
      <c r="B207" s="39" t="str">
        <f aca="false">IF(A207="","",EDATE(Disb,A207*MPP))</f>
        <v/>
      </c>
      <c r="C207" s="40" t="str">
        <f aca="false">IF(A207="","",IF(A207&lt;=Grace,"Grace","Repayment"))</f>
        <v/>
      </c>
      <c r="D207" s="41" t="str">
        <f aca="false">IF(A207="","",K206)</f>
        <v/>
      </c>
      <c r="E207" s="41" t="str">
        <f aca="false">IF(AND(A207&lt;&gt;"",D207&gt;0.005),F207+G207,"")</f>
        <v/>
      </c>
      <c r="F207" s="41" t="str">
        <f aca="false">IF(AND(A207&lt;&gt;"",D207&gt;0.005),ROUND(D207*RP,2),"")</f>
        <v/>
      </c>
      <c r="G207" s="41" t="str">
        <f aca="false">IF(AND(A207&lt;&gt;"",D207&gt;0.005),IF(A207&lt;=Grace,0,IF(A207=NPer,D207,IF(Method="Equal principal (reducing payments)",MIN(ROUND(EqPrin,2),D207),MIN(ROUND(Annuity-F207,2),D207)))),"")</f>
        <v/>
      </c>
      <c r="H207" s="41" t="str">
        <f aca="false">IF(AND(A207&lt;&gt;"",D207&gt;0.005),IF(A207&lt;=Grace,0,MIN(Extra,D207-G207)),"")</f>
        <v/>
      </c>
      <c r="I207" s="41" t="str">
        <f aca="false">IF(AND(A207&lt;&gt;"",D207&gt;0.005),MIN(SUMIF(LumpN,A207,LumpAmt),D207-G207-H207),"")</f>
        <v/>
      </c>
      <c r="J207" s="42" t="str">
        <f aca="false">IF(AND(A207&lt;&gt;"",D207&gt;0.005),E207+H207+I207,"")</f>
        <v/>
      </c>
      <c r="K207" s="42" t="str">
        <f aca="false">IF(AND(A207&lt;&gt;"",D207&gt;0.005),ROUND(D207-G207-H207-I207,2),"")</f>
        <v/>
      </c>
      <c r="L207" s="41" t="str">
        <f aca="false">IF(AND(A207&lt;&gt;"",D207&gt;0.005),L206+F207,"")</f>
        <v/>
      </c>
      <c r="M207" s="41" t="str">
        <f aca="false">IF(AND(A207&lt;&gt;"",D207&gt;0.005),M206+G207+H207+I207,"")</f>
        <v/>
      </c>
      <c r="N207" s="43" t="str">
        <f aca="false">IF(B207="","",YEAR(B207))</f>
        <v/>
      </c>
      <c r="O207" s="44" t="n">
        <f aca="false">IF(AND(A207&lt;&gt;"",D207&gt;0.005),J207,0)</f>
        <v>0</v>
      </c>
      <c r="P207" s="44" t="n">
        <f aca="false">R206</f>
        <v>0</v>
      </c>
      <c r="Q207" s="44" t="n">
        <f aca="false">IF(AND(P207&gt;0.005,200&lt;=NPer),ROUND(P207*RP,2),0)</f>
        <v>0</v>
      </c>
      <c r="R207" s="44" t="n">
        <f aca="false">IF(AND(P207&gt;0.005,200&lt;=NPer),ROUND(P207-IF(200&lt;=Grace,0,IF(200=NPer,P207,IF(Method="Equal principal (reducing payments)",MIN(ROUND(EqPrin,2),P207),MIN(ROUND(Annuity-Q207,2),P207)))),2),0)</f>
        <v>0</v>
      </c>
    </row>
    <row r="208" customFormat="false" ht="15" hidden="false" customHeight="false" outlineLevel="0" collapsed="false">
      <c r="A208" s="38" t="str">
        <f aca="false">IF(AND(N(K207)&gt;0.005,A207&lt;NPer),A207+1,"")</f>
        <v/>
      </c>
      <c r="B208" s="39" t="str">
        <f aca="false">IF(A208="","",EDATE(Disb,A208*MPP))</f>
        <v/>
      </c>
      <c r="C208" s="40" t="str">
        <f aca="false">IF(A208="","",IF(A208&lt;=Grace,"Grace","Repayment"))</f>
        <v/>
      </c>
      <c r="D208" s="41" t="str">
        <f aca="false">IF(A208="","",K207)</f>
        <v/>
      </c>
      <c r="E208" s="41" t="str">
        <f aca="false">IF(AND(A208&lt;&gt;"",D208&gt;0.005),F208+G208,"")</f>
        <v/>
      </c>
      <c r="F208" s="41" t="str">
        <f aca="false">IF(AND(A208&lt;&gt;"",D208&gt;0.005),ROUND(D208*RP,2),"")</f>
        <v/>
      </c>
      <c r="G208" s="41" t="str">
        <f aca="false">IF(AND(A208&lt;&gt;"",D208&gt;0.005),IF(A208&lt;=Grace,0,IF(A208=NPer,D208,IF(Method="Equal principal (reducing payments)",MIN(ROUND(EqPrin,2),D208),MIN(ROUND(Annuity-F208,2),D208)))),"")</f>
        <v/>
      </c>
      <c r="H208" s="41" t="str">
        <f aca="false">IF(AND(A208&lt;&gt;"",D208&gt;0.005),IF(A208&lt;=Grace,0,MIN(Extra,D208-G208)),"")</f>
        <v/>
      </c>
      <c r="I208" s="41" t="str">
        <f aca="false">IF(AND(A208&lt;&gt;"",D208&gt;0.005),MIN(SUMIF(LumpN,A208,LumpAmt),D208-G208-H208),"")</f>
        <v/>
      </c>
      <c r="J208" s="42" t="str">
        <f aca="false">IF(AND(A208&lt;&gt;"",D208&gt;0.005),E208+H208+I208,"")</f>
        <v/>
      </c>
      <c r="K208" s="42" t="str">
        <f aca="false">IF(AND(A208&lt;&gt;"",D208&gt;0.005),ROUND(D208-G208-H208-I208,2),"")</f>
        <v/>
      </c>
      <c r="L208" s="41" t="str">
        <f aca="false">IF(AND(A208&lt;&gt;"",D208&gt;0.005),L207+F208,"")</f>
        <v/>
      </c>
      <c r="M208" s="41" t="str">
        <f aca="false">IF(AND(A208&lt;&gt;"",D208&gt;0.005),M207+G208+H208+I208,"")</f>
        <v/>
      </c>
      <c r="N208" s="43" t="str">
        <f aca="false">IF(B208="","",YEAR(B208))</f>
        <v/>
      </c>
      <c r="O208" s="44" t="n">
        <f aca="false">IF(AND(A208&lt;&gt;"",D208&gt;0.005),J208,0)</f>
        <v>0</v>
      </c>
      <c r="P208" s="44" t="n">
        <f aca="false">R207</f>
        <v>0</v>
      </c>
      <c r="Q208" s="44" t="n">
        <f aca="false">IF(AND(P208&gt;0.005,201&lt;=NPer),ROUND(P208*RP,2),0)</f>
        <v>0</v>
      </c>
      <c r="R208" s="44" t="n">
        <f aca="false">IF(AND(P208&gt;0.005,201&lt;=NPer),ROUND(P208-IF(201&lt;=Grace,0,IF(201=NPer,P208,IF(Method="Equal principal (reducing payments)",MIN(ROUND(EqPrin,2),P208),MIN(ROUND(Annuity-Q208,2),P208)))),2),0)</f>
        <v>0</v>
      </c>
    </row>
    <row r="209" customFormat="false" ht="15" hidden="false" customHeight="false" outlineLevel="0" collapsed="false">
      <c r="A209" s="38" t="str">
        <f aca="false">IF(AND(N(K208)&gt;0.005,A208&lt;NPer),A208+1,"")</f>
        <v/>
      </c>
      <c r="B209" s="39" t="str">
        <f aca="false">IF(A209="","",EDATE(Disb,A209*MPP))</f>
        <v/>
      </c>
      <c r="C209" s="40" t="str">
        <f aca="false">IF(A209="","",IF(A209&lt;=Grace,"Grace","Repayment"))</f>
        <v/>
      </c>
      <c r="D209" s="41" t="str">
        <f aca="false">IF(A209="","",K208)</f>
        <v/>
      </c>
      <c r="E209" s="41" t="str">
        <f aca="false">IF(AND(A209&lt;&gt;"",D209&gt;0.005),F209+G209,"")</f>
        <v/>
      </c>
      <c r="F209" s="41" t="str">
        <f aca="false">IF(AND(A209&lt;&gt;"",D209&gt;0.005),ROUND(D209*RP,2),"")</f>
        <v/>
      </c>
      <c r="G209" s="41" t="str">
        <f aca="false">IF(AND(A209&lt;&gt;"",D209&gt;0.005),IF(A209&lt;=Grace,0,IF(A209=NPer,D209,IF(Method="Equal principal (reducing payments)",MIN(ROUND(EqPrin,2),D209),MIN(ROUND(Annuity-F209,2),D209)))),"")</f>
        <v/>
      </c>
      <c r="H209" s="41" t="str">
        <f aca="false">IF(AND(A209&lt;&gt;"",D209&gt;0.005),IF(A209&lt;=Grace,0,MIN(Extra,D209-G209)),"")</f>
        <v/>
      </c>
      <c r="I209" s="41" t="str">
        <f aca="false">IF(AND(A209&lt;&gt;"",D209&gt;0.005),MIN(SUMIF(LumpN,A209,LumpAmt),D209-G209-H209),"")</f>
        <v/>
      </c>
      <c r="J209" s="42" t="str">
        <f aca="false">IF(AND(A209&lt;&gt;"",D209&gt;0.005),E209+H209+I209,"")</f>
        <v/>
      </c>
      <c r="K209" s="42" t="str">
        <f aca="false">IF(AND(A209&lt;&gt;"",D209&gt;0.005),ROUND(D209-G209-H209-I209,2),"")</f>
        <v/>
      </c>
      <c r="L209" s="41" t="str">
        <f aca="false">IF(AND(A209&lt;&gt;"",D209&gt;0.005),L208+F209,"")</f>
        <v/>
      </c>
      <c r="M209" s="41" t="str">
        <f aca="false">IF(AND(A209&lt;&gt;"",D209&gt;0.005),M208+G209+H209+I209,"")</f>
        <v/>
      </c>
      <c r="N209" s="43" t="str">
        <f aca="false">IF(B209="","",YEAR(B209))</f>
        <v/>
      </c>
      <c r="O209" s="44" t="n">
        <f aca="false">IF(AND(A209&lt;&gt;"",D209&gt;0.005),J209,0)</f>
        <v>0</v>
      </c>
      <c r="P209" s="44" t="n">
        <f aca="false">R208</f>
        <v>0</v>
      </c>
      <c r="Q209" s="44" t="n">
        <f aca="false">IF(AND(P209&gt;0.005,202&lt;=NPer),ROUND(P209*RP,2),0)</f>
        <v>0</v>
      </c>
      <c r="R209" s="44" t="n">
        <f aca="false">IF(AND(P209&gt;0.005,202&lt;=NPer),ROUND(P209-IF(202&lt;=Grace,0,IF(202=NPer,P209,IF(Method="Equal principal (reducing payments)",MIN(ROUND(EqPrin,2),P209),MIN(ROUND(Annuity-Q209,2),P209)))),2),0)</f>
        <v>0</v>
      </c>
    </row>
    <row r="210" customFormat="false" ht="15" hidden="false" customHeight="false" outlineLevel="0" collapsed="false">
      <c r="A210" s="38" t="str">
        <f aca="false">IF(AND(N(K209)&gt;0.005,A209&lt;NPer),A209+1,"")</f>
        <v/>
      </c>
      <c r="B210" s="39" t="str">
        <f aca="false">IF(A210="","",EDATE(Disb,A210*MPP))</f>
        <v/>
      </c>
      <c r="C210" s="40" t="str">
        <f aca="false">IF(A210="","",IF(A210&lt;=Grace,"Grace","Repayment"))</f>
        <v/>
      </c>
      <c r="D210" s="41" t="str">
        <f aca="false">IF(A210="","",K209)</f>
        <v/>
      </c>
      <c r="E210" s="41" t="str">
        <f aca="false">IF(AND(A210&lt;&gt;"",D210&gt;0.005),F210+G210,"")</f>
        <v/>
      </c>
      <c r="F210" s="41" t="str">
        <f aca="false">IF(AND(A210&lt;&gt;"",D210&gt;0.005),ROUND(D210*RP,2),"")</f>
        <v/>
      </c>
      <c r="G210" s="41" t="str">
        <f aca="false">IF(AND(A210&lt;&gt;"",D210&gt;0.005),IF(A210&lt;=Grace,0,IF(A210=NPer,D210,IF(Method="Equal principal (reducing payments)",MIN(ROUND(EqPrin,2),D210),MIN(ROUND(Annuity-F210,2),D210)))),"")</f>
        <v/>
      </c>
      <c r="H210" s="41" t="str">
        <f aca="false">IF(AND(A210&lt;&gt;"",D210&gt;0.005),IF(A210&lt;=Grace,0,MIN(Extra,D210-G210)),"")</f>
        <v/>
      </c>
      <c r="I210" s="41" t="str">
        <f aca="false">IF(AND(A210&lt;&gt;"",D210&gt;0.005),MIN(SUMIF(LumpN,A210,LumpAmt),D210-G210-H210),"")</f>
        <v/>
      </c>
      <c r="J210" s="42" t="str">
        <f aca="false">IF(AND(A210&lt;&gt;"",D210&gt;0.005),E210+H210+I210,"")</f>
        <v/>
      </c>
      <c r="K210" s="42" t="str">
        <f aca="false">IF(AND(A210&lt;&gt;"",D210&gt;0.005),ROUND(D210-G210-H210-I210,2),"")</f>
        <v/>
      </c>
      <c r="L210" s="41" t="str">
        <f aca="false">IF(AND(A210&lt;&gt;"",D210&gt;0.005),L209+F210,"")</f>
        <v/>
      </c>
      <c r="M210" s="41" t="str">
        <f aca="false">IF(AND(A210&lt;&gt;"",D210&gt;0.005),M209+G210+H210+I210,"")</f>
        <v/>
      </c>
      <c r="N210" s="43" t="str">
        <f aca="false">IF(B210="","",YEAR(B210))</f>
        <v/>
      </c>
      <c r="O210" s="44" t="n">
        <f aca="false">IF(AND(A210&lt;&gt;"",D210&gt;0.005),J210,0)</f>
        <v>0</v>
      </c>
      <c r="P210" s="44" t="n">
        <f aca="false">R209</f>
        <v>0</v>
      </c>
      <c r="Q210" s="44" t="n">
        <f aca="false">IF(AND(P210&gt;0.005,203&lt;=NPer),ROUND(P210*RP,2),0)</f>
        <v>0</v>
      </c>
      <c r="R210" s="44" t="n">
        <f aca="false">IF(AND(P210&gt;0.005,203&lt;=NPer),ROUND(P210-IF(203&lt;=Grace,0,IF(203=NPer,P210,IF(Method="Equal principal (reducing payments)",MIN(ROUND(EqPrin,2),P210),MIN(ROUND(Annuity-Q210,2),P210)))),2),0)</f>
        <v>0</v>
      </c>
    </row>
    <row r="211" customFormat="false" ht="15" hidden="false" customHeight="false" outlineLevel="0" collapsed="false">
      <c r="A211" s="38" t="str">
        <f aca="false">IF(AND(N(K210)&gt;0.005,A210&lt;NPer),A210+1,"")</f>
        <v/>
      </c>
      <c r="B211" s="39" t="str">
        <f aca="false">IF(A211="","",EDATE(Disb,A211*MPP))</f>
        <v/>
      </c>
      <c r="C211" s="40" t="str">
        <f aca="false">IF(A211="","",IF(A211&lt;=Grace,"Grace","Repayment"))</f>
        <v/>
      </c>
      <c r="D211" s="41" t="str">
        <f aca="false">IF(A211="","",K210)</f>
        <v/>
      </c>
      <c r="E211" s="41" t="str">
        <f aca="false">IF(AND(A211&lt;&gt;"",D211&gt;0.005),F211+G211,"")</f>
        <v/>
      </c>
      <c r="F211" s="41" t="str">
        <f aca="false">IF(AND(A211&lt;&gt;"",D211&gt;0.005),ROUND(D211*RP,2),"")</f>
        <v/>
      </c>
      <c r="G211" s="41" t="str">
        <f aca="false">IF(AND(A211&lt;&gt;"",D211&gt;0.005),IF(A211&lt;=Grace,0,IF(A211=NPer,D211,IF(Method="Equal principal (reducing payments)",MIN(ROUND(EqPrin,2),D211),MIN(ROUND(Annuity-F211,2),D211)))),"")</f>
        <v/>
      </c>
      <c r="H211" s="41" t="str">
        <f aca="false">IF(AND(A211&lt;&gt;"",D211&gt;0.005),IF(A211&lt;=Grace,0,MIN(Extra,D211-G211)),"")</f>
        <v/>
      </c>
      <c r="I211" s="41" t="str">
        <f aca="false">IF(AND(A211&lt;&gt;"",D211&gt;0.005),MIN(SUMIF(LumpN,A211,LumpAmt),D211-G211-H211),"")</f>
        <v/>
      </c>
      <c r="J211" s="42" t="str">
        <f aca="false">IF(AND(A211&lt;&gt;"",D211&gt;0.005),E211+H211+I211,"")</f>
        <v/>
      </c>
      <c r="K211" s="42" t="str">
        <f aca="false">IF(AND(A211&lt;&gt;"",D211&gt;0.005),ROUND(D211-G211-H211-I211,2),"")</f>
        <v/>
      </c>
      <c r="L211" s="41" t="str">
        <f aca="false">IF(AND(A211&lt;&gt;"",D211&gt;0.005),L210+F211,"")</f>
        <v/>
      </c>
      <c r="M211" s="41" t="str">
        <f aca="false">IF(AND(A211&lt;&gt;"",D211&gt;0.005),M210+G211+H211+I211,"")</f>
        <v/>
      </c>
      <c r="N211" s="43" t="str">
        <f aca="false">IF(B211="","",YEAR(B211))</f>
        <v/>
      </c>
      <c r="O211" s="44" t="n">
        <f aca="false">IF(AND(A211&lt;&gt;"",D211&gt;0.005),J211,0)</f>
        <v>0</v>
      </c>
      <c r="P211" s="44" t="n">
        <f aca="false">R210</f>
        <v>0</v>
      </c>
      <c r="Q211" s="44" t="n">
        <f aca="false">IF(AND(P211&gt;0.005,204&lt;=NPer),ROUND(P211*RP,2),0)</f>
        <v>0</v>
      </c>
      <c r="R211" s="44" t="n">
        <f aca="false">IF(AND(P211&gt;0.005,204&lt;=NPer),ROUND(P211-IF(204&lt;=Grace,0,IF(204=NPer,P211,IF(Method="Equal principal (reducing payments)",MIN(ROUND(EqPrin,2),P211),MIN(ROUND(Annuity-Q211,2),P211)))),2),0)</f>
        <v>0</v>
      </c>
    </row>
    <row r="212" customFormat="false" ht="15" hidden="false" customHeight="false" outlineLevel="0" collapsed="false">
      <c r="A212" s="38" t="str">
        <f aca="false">IF(AND(N(K211)&gt;0.005,A211&lt;NPer),A211+1,"")</f>
        <v/>
      </c>
      <c r="B212" s="39" t="str">
        <f aca="false">IF(A212="","",EDATE(Disb,A212*MPP))</f>
        <v/>
      </c>
      <c r="C212" s="40" t="str">
        <f aca="false">IF(A212="","",IF(A212&lt;=Grace,"Grace","Repayment"))</f>
        <v/>
      </c>
      <c r="D212" s="41" t="str">
        <f aca="false">IF(A212="","",K211)</f>
        <v/>
      </c>
      <c r="E212" s="41" t="str">
        <f aca="false">IF(AND(A212&lt;&gt;"",D212&gt;0.005),F212+G212,"")</f>
        <v/>
      </c>
      <c r="F212" s="41" t="str">
        <f aca="false">IF(AND(A212&lt;&gt;"",D212&gt;0.005),ROUND(D212*RP,2),"")</f>
        <v/>
      </c>
      <c r="G212" s="41" t="str">
        <f aca="false">IF(AND(A212&lt;&gt;"",D212&gt;0.005),IF(A212&lt;=Grace,0,IF(A212=NPer,D212,IF(Method="Equal principal (reducing payments)",MIN(ROUND(EqPrin,2),D212),MIN(ROUND(Annuity-F212,2),D212)))),"")</f>
        <v/>
      </c>
      <c r="H212" s="41" t="str">
        <f aca="false">IF(AND(A212&lt;&gt;"",D212&gt;0.005),IF(A212&lt;=Grace,0,MIN(Extra,D212-G212)),"")</f>
        <v/>
      </c>
      <c r="I212" s="41" t="str">
        <f aca="false">IF(AND(A212&lt;&gt;"",D212&gt;0.005),MIN(SUMIF(LumpN,A212,LumpAmt),D212-G212-H212),"")</f>
        <v/>
      </c>
      <c r="J212" s="42" t="str">
        <f aca="false">IF(AND(A212&lt;&gt;"",D212&gt;0.005),E212+H212+I212,"")</f>
        <v/>
      </c>
      <c r="K212" s="42" t="str">
        <f aca="false">IF(AND(A212&lt;&gt;"",D212&gt;0.005),ROUND(D212-G212-H212-I212,2),"")</f>
        <v/>
      </c>
      <c r="L212" s="41" t="str">
        <f aca="false">IF(AND(A212&lt;&gt;"",D212&gt;0.005),L211+F212,"")</f>
        <v/>
      </c>
      <c r="M212" s="41" t="str">
        <f aca="false">IF(AND(A212&lt;&gt;"",D212&gt;0.005),M211+G212+H212+I212,"")</f>
        <v/>
      </c>
      <c r="N212" s="43" t="str">
        <f aca="false">IF(B212="","",YEAR(B212))</f>
        <v/>
      </c>
      <c r="O212" s="44" t="n">
        <f aca="false">IF(AND(A212&lt;&gt;"",D212&gt;0.005),J212,0)</f>
        <v>0</v>
      </c>
      <c r="P212" s="44" t="n">
        <f aca="false">R211</f>
        <v>0</v>
      </c>
      <c r="Q212" s="44" t="n">
        <f aca="false">IF(AND(P212&gt;0.005,205&lt;=NPer),ROUND(P212*RP,2),0)</f>
        <v>0</v>
      </c>
      <c r="R212" s="44" t="n">
        <f aca="false">IF(AND(P212&gt;0.005,205&lt;=NPer),ROUND(P212-IF(205&lt;=Grace,0,IF(205=NPer,P212,IF(Method="Equal principal (reducing payments)",MIN(ROUND(EqPrin,2),P212),MIN(ROUND(Annuity-Q212,2),P212)))),2),0)</f>
        <v>0</v>
      </c>
    </row>
    <row r="213" customFormat="false" ht="15" hidden="false" customHeight="false" outlineLevel="0" collapsed="false">
      <c r="A213" s="38" t="str">
        <f aca="false">IF(AND(N(K212)&gt;0.005,A212&lt;NPer),A212+1,"")</f>
        <v/>
      </c>
      <c r="B213" s="39" t="str">
        <f aca="false">IF(A213="","",EDATE(Disb,A213*MPP))</f>
        <v/>
      </c>
      <c r="C213" s="40" t="str">
        <f aca="false">IF(A213="","",IF(A213&lt;=Grace,"Grace","Repayment"))</f>
        <v/>
      </c>
      <c r="D213" s="41" t="str">
        <f aca="false">IF(A213="","",K212)</f>
        <v/>
      </c>
      <c r="E213" s="41" t="str">
        <f aca="false">IF(AND(A213&lt;&gt;"",D213&gt;0.005),F213+G213,"")</f>
        <v/>
      </c>
      <c r="F213" s="41" t="str">
        <f aca="false">IF(AND(A213&lt;&gt;"",D213&gt;0.005),ROUND(D213*RP,2),"")</f>
        <v/>
      </c>
      <c r="G213" s="41" t="str">
        <f aca="false">IF(AND(A213&lt;&gt;"",D213&gt;0.005),IF(A213&lt;=Grace,0,IF(A213=NPer,D213,IF(Method="Equal principal (reducing payments)",MIN(ROUND(EqPrin,2),D213),MIN(ROUND(Annuity-F213,2),D213)))),"")</f>
        <v/>
      </c>
      <c r="H213" s="41" t="str">
        <f aca="false">IF(AND(A213&lt;&gt;"",D213&gt;0.005),IF(A213&lt;=Grace,0,MIN(Extra,D213-G213)),"")</f>
        <v/>
      </c>
      <c r="I213" s="41" t="str">
        <f aca="false">IF(AND(A213&lt;&gt;"",D213&gt;0.005),MIN(SUMIF(LumpN,A213,LumpAmt),D213-G213-H213),"")</f>
        <v/>
      </c>
      <c r="J213" s="42" t="str">
        <f aca="false">IF(AND(A213&lt;&gt;"",D213&gt;0.005),E213+H213+I213,"")</f>
        <v/>
      </c>
      <c r="K213" s="42" t="str">
        <f aca="false">IF(AND(A213&lt;&gt;"",D213&gt;0.005),ROUND(D213-G213-H213-I213,2),"")</f>
        <v/>
      </c>
      <c r="L213" s="41" t="str">
        <f aca="false">IF(AND(A213&lt;&gt;"",D213&gt;0.005),L212+F213,"")</f>
        <v/>
      </c>
      <c r="M213" s="41" t="str">
        <f aca="false">IF(AND(A213&lt;&gt;"",D213&gt;0.005),M212+G213+H213+I213,"")</f>
        <v/>
      </c>
      <c r="N213" s="43" t="str">
        <f aca="false">IF(B213="","",YEAR(B213))</f>
        <v/>
      </c>
      <c r="O213" s="44" t="n">
        <f aca="false">IF(AND(A213&lt;&gt;"",D213&gt;0.005),J213,0)</f>
        <v>0</v>
      </c>
      <c r="P213" s="44" t="n">
        <f aca="false">R212</f>
        <v>0</v>
      </c>
      <c r="Q213" s="44" t="n">
        <f aca="false">IF(AND(P213&gt;0.005,206&lt;=NPer),ROUND(P213*RP,2),0)</f>
        <v>0</v>
      </c>
      <c r="R213" s="44" t="n">
        <f aca="false">IF(AND(P213&gt;0.005,206&lt;=NPer),ROUND(P213-IF(206&lt;=Grace,0,IF(206=NPer,P213,IF(Method="Equal principal (reducing payments)",MIN(ROUND(EqPrin,2),P213),MIN(ROUND(Annuity-Q213,2),P213)))),2),0)</f>
        <v>0</v>
      </c>
    </row>
    <row r="214" customFormat="false" ht="15" hidden="false" customHeight="false" outlineLevel="0" collapsed="false">
      <c r="A214" s="38" t="str">
        <f aca="false">IF(AND(N(K213)&gt;0.005,A213&lt;NPer),A213+1,"")</f>
        <v/>
      </c>
      <c r="B214" s="39" t="str">
        <f aca="false">IF(A214="","",EDATE(Disb,A214*MPP))</f>
        <v/>
      </c>
      <c r="C214" s="40" t="str">
        <f aca="false">IF(A214="","",IF(A214&lt;=Grace,"Grace","Repayment"))</f>
        <v/>
      </c>
      <c r="D214" s="41" t="str">
        <f aca="false">IF(A214="","",K213)</f>
        <v/>
      </c>
      <c r="E214" s="41" t="str">
        <f aca="false">IF(AND(A214&lt;&gt;"",D214&gt;0.005),F214+G214,"")</f>
        <v/>
      </c>
      <c r="F214" s="41" t="str">
        <f aca="false">IF(AND(A214&lt;&gt;"",D214&gt;0.005),ROUND(D214*RP,2),"")</f>
        <v/>
      </c>
      <c r="G214" s="41" t="str">
        <f aca="false">IF(AND(A214&lt;&gt;"",D214&gt;0.005),IF(A214&lt;=Grace,0,IF(A214=NPer,D214,IF(Method="Equal principal (reducing payments)",MIN(ROUND(EqPrin,2),D214),MIN(ROUND(Annuity-F214,2),D214)))),"")</f>
        <v/>
      </c>
      <c r="H214" s="41" t="str">
        <f aca="false">IF(AND(A214&lt;&gt;"",D214&gt;0.005),IF(A214&lt;=Grace,0,MIN(Extra,D214-G214)),"")</f>
        <v/>
      </c>
      <c r="I214" s="41" t="str">
        <f aca="false">IF(AND(A214&lt;&gt;"",D214&gt;0.005),MIN(SUMIF(LumpN,A214,LumpAmt),D214-G214-H214),"")</f>
        <v/>
      </c>
      <c r="J214" s="42" t="str">
        <f aca="false">IF(AND(A214&lt;&gt;"",D214&gt;0.005),E214+H214+I214,"")</f>
        <v/>
      </c>
      <c r="K214" s="42" t="str">
        <f aca="false">IF(AND(A214&lt;&gt;"",D214&gt;0.005),ROUND(D214-G214-H214-I214,2),"")</f>
        <v/>
      </c>
      <c r="L214" s="41" t="str">
        <f aca="false">IF(AND(A214&lt;&gt;"",D214&gt;0.005),L213+F214,"")</f>
        <v/>
      </c>
      <c r="M214" s="41" t="str">
        <f aca="false">IF(AND(A214&lt;&gt;"",D214&gt;0.005),M213+G214+H214+I214,"")</f>
        <v/>
      </c>
      <c r="N214" s="43" t="str">
        <f aca="false">IF(B214="","",YEAR(B214))</f>
        <v/>
      </c>
      <c r="O214" s="44" t="n">
        <f aca="false">IF(AND(A214&lt;&gt;"",D214&gt;0.005),J214,0)</f>
        <v>0</v>
      </c>
      <c r="P214" s="44" t="n">
        <f aca="false">R213</f>
        <v>0</v>
      </c>
      <c r="Q214" s="44" t="n">
        <f aca="false">IF(AND(P214&gt;0.005,207&lt;=NPer),ROUND(P214*RP,2),0)</f>
        <v>0</v>
      </c>
      <c r="R214" s="44" t="n">
        <f aca="false">IF(AND(P214&gt;0.005,207&lt;=NPer),ROUND(P214-IF(207&lt;=Grace,0,IF(207=NPer,P214,IF(Method="Equal principal (reducing payments)",MIN(ROUND(EqPrin,2),P214),MIN(ROUND(Annuity-Q214,2),P214)))),2),0)</f>
        <v>0</v>
      </c>
    </row>
    <row r="215" customFormat="false" ht="15" hidden="false" customHeight="false" outlineLevel="0" collapsed="false">
      <c r="A215" s="38" t="str">
        <f aca="false">IF(AND(N(K214)&gt;0.005,A214&lt;NPer),A214+1,"")</f>
        <v/>
      </c>
      <c r="B215" s="39" t="str">
        <f aca="false">IF(A215="","",EDATE(Disb,A215*MPP))</f>
        <v/>
      </c>
      <c r="C215" s="40" t="str">
        <f aca="false">IF(A215="","",IF(A215&lt;=Grace,"Grace","Repayment"))</f>
        <v/>
      </c>
      <c r="D215" s="41" t="str">
        <f aca="false">IF(A215="","",K214)</f>
        <v/>
      </c>
      <c r="E215" s="41" t="str">
        <f aca="false">IF(AND(A215&lt;&gt;"",D215&gt;0.005),F215+G215,"")</f>
        <v/>
      </c>
      <c r="F215" s="41" t="str">
        <f aca="false">IF(AND(A215&lt;&gt;"",D215&gt;0.005),ROUND(D215*RP,2),"")</f>
        <v/>
      </c>
      <c r="G215" s="41" t="str">
        <f aca="false">IF(AND(A215&lt;&gt;"",D215&gt;0.005),IF(A215&lt;=Grace,0,IF(A215=NPer,D215,IF(Method="Equal principal (reducing payments)",MIN(ROUND(EqPrin,2),D215),MIN(ROUND(Annuity-F215,2),D215)))),"")</f>
        <v/>
      </c>
      <c r="H215" s="41" t="str">
        <f aca="false">IF(AND(A215&lt;&gt;"",D215&gt;0.005),IF(A215&lt;=Grace,0,MIN(Extra,D215-G215)),"")</f>
        <v/>
      </c>
      <c r="I215" s="41" t="str">
        <f aca="false">IF(AND(A215&lt;&gt;"",D215&gt;0.005),MIN(SUMIF(LumpN,A215,LumpAmt),D215-G215-H215),"")</f>
        <v/>
      </c>
      <c r="J215" s="42" t="str">
        <f aca="false">IF(AND(A215&lt;&gt;"",D215&gt;0.005),E215+H215+I215,"")</f>
        <v/>
      </c>
      <c r="K215" s="42" t="str">
        <f aca="false">IF(AND(A215&lt;&gt;"",D215&gt;0.005),ROUND(D215-G215-H215-I215,2),"")</f>
        <v/>
      </c>
      <c r="L215" s="41" t="str">
        <f aca="false">IF(AND(A215&lt;&gt;"",D215&gt;0.005),L214+F215,"")</f>
        <v/>
      </c>
      <c r="M215" s="41" t="str">
        <f aca="false">IF(AND(A215&lt;&gt;"",D215&gt;0.005),M214+G215+H215+I215,"")</f>
        <v/>
      </c>
      <c r="N215" s="43" t="str">
        <f aca="false">IF(B215="","",YEAR(B215))</f>
        <v/>
      </c>
      <c r="O215" s="44" t="n">
        <f aca="false">IF(AND(A215&lt;&gt;"",D215&gt;0.005),J215,0)</f>
        <v>0</v>
      </c>
      <c r="P215" s="44" t="n">
        <f aca="false">R214</f>
        <v>0</v>
      </c>
      <c r="Q215" s="44" t="n">
        <f aca="false">IF(AND(P215&gt;0.005,208&lt;=NPer),ROUND(P215*RP,2),0)</f>
        <v>0</v>
      </c>
      <c r="R215" s="44" t="n">
        <f aca="false">IF(AND(P215&gt;0.005,208&lt;=NPer),ROUND(P215-IF(208&lt;=Grace,0,IF(208=NPer,P215,IF(Method="Equal principal (reducing payments)",MIN(ROUND(EqPrin,2),P215),MIN(ROUND(Annuity-Q215,2),P215)))),2),0)</f>
        <v>0</v>
      </c>
    </row>
    <row r="216" customFormat="false" ht="15" hidden="false" customHeight="false" outlineLevel="0" collapsed="false">
      <c r="A216" s="38" t="str">
        <f aca="false">IF(AND(N(K215)&gt;0.005,A215&lt;NPer),A215+1,"")</f>
        <v/>
      </c>
      <c r="B216" s="39" t="str">
        <f aca="false">IF(A216="","",EDATE(Disb,A216*MPP))</f>
        <v/>
      </c>
      <c r="C216" s="40" t="str">
        <f aca="false">IF(A216="","",IF(A216&lt;=Grace,"Grace","Repayment"))</f>
        <v/>
      </c>
      <c r="D216" s="41" t="str">
        <f aca="false">IF(A216="","",K215)</f>
        <v/>
      </c>
      <c r="E216" s="41" t="str">
        <f aca="false">IF(AND(A216&lt;&gt;"",D216&gt;0.005),F216+G216,"")</f>
        <v/>
      </c>
      <c r="F216" s="41" t="str">
        <f aca="false">IF(AND(A216&lt;&gt;"",D216&gt;0.005),ROUND(D216*RP,2),"")</f>
        <v/>
      </c>
      <c r="G216" s="41" t="str">
        <f aca="false">IF(AND(A216&lt;&gt;"",D216&gt;0.005),IF(A216&lt;=Grace,0,IF(A216=NPer,D216,IF(Method="Equal principal (reducing payments)",MIN(ROUND(EqPrin,2),D216),MIN(ROUND(Annuity-F216,2),D216)))),"")</f>
        <v/>
      </c>
      <c r="H216" s="41" t="str">
        <f aca="false">IF(AND(A216&lt;&gt;"",D216&gt;0.005),IF(A216&lt;=Grace,0,MIN(Extra,D216-G216)),"")</f>
        <v/>
      </c>
      <c r="I216" s="41" t="str">
        <f aca="false">IF(AND(A216&lt;&gt;"",D216&gt;0.005),MIN(SUMIF(LumpN,A216,LumpAmt),D216-G216-H216),"")</f>
        <v/>
      </c>
      <c r="J216" s="42" t="str">
        <f aca="false">IF(AND(A216&lt;&gt;"",D216&gt;0.005),E216+H216+I216,"")</f>
        <v/>
      </c>
      <c r="K216" s="42" t="str">
        <f aca="false">IF(AND(A216&lt;&gt;"",D216&gt;0.005),ROUND(D216-G216-H216-I216,2),"")</f>
        <v/>
      </c>
      <c r="L216" s="41" t="str">
        <f aca="false">IF(AND(A216&lt;&gt;"",D216&gt;0.005),L215+F216,"")</f>
        <v/>
      </c>
      <c r="M216" s="41" t="str">
        <f aca="false">IF(AND(A216&lt;&gt;"",D216&gt;0.005),M215+G216+H216+I216,"")</f>
        <v/>
      </c>
      <c r="N216" s="43" t="str">
        <f aca="false">IF(B216="","",YEAR(B216))</f>
        <v/>
      </c>
      <c r="O216" s="44" t="n">
        <f aca="false">IF(AND(A216&lt;&gt;"",D216&gt;0.005),J216,0)</f>
        <v>0</v>
      </c>
      <c r="P216" s="44" t="n">
        <f aca="false">R215</f>
        <v>0</v>
      </c>
      <c r="Q216" s="44" t="n">
        <f aca="false">IF(AND(P216&gt;0.005,209&lt;=NPer),ROUND(P216*RP,2),0)</f>
        <v>0</v>
      </c>
      <c r="R216" s="44" t="n">
        <f aca="false">IF(AND(P216&gt;0.005,209&lt;=NPer),ROUND(P216-IF(209&lt;=Grace,0,IF(209=NPer,P216,IF(Method="Equal principal (reducing payments)",MIN(ROUND(EqPrin,2),P216),MIN(ROUND(Annuity-Q216,2),P216)))),2),0)</f>
        <v>0</v>
      </c>
    </row>
    <row r="217" customFormat="false" ht="15" hidden="false" customHeight="false" outlineLevel="0" collapsed="false">
      <c r="A217" s="38" t="str">
        <f aca="false">IF(AND(N(K216)&gt;0.005,A216&lt;NPer),A216+1,"")</f>
        <v/>
      </c>
      <c r="B217" s="39" t="str">
        <f aca="false">IF(A217="","",EDATE(Disb,A217*MPP))</f>
        <v/>
      </c>
      <c r="C217" s="40" t="str">
        <f aca="false">IF(A217="","",IF(A217&lt;=Grace,"Grace","Repayment"))</f>
        <v/>
      </c>
      <c r="D217" s="41" t="str">
        <f aca="false">IF(A217="","",K216)</f>
        <v/>
      </c>
      <c r="E217" s="41" t="str">
        <f aca="false">IF(AND(A217&lt;&gt;"",D217&gt;0.005),F217+G217,"")</f>
        <v/>
      </c>
      <c r="F217" s="41" t="str">
        <f aca="false">IF(AND(A217&lt;&gt;"",D217&gt;0.005),ROUND(D217*RP,2),"")</f>
        <v/>
      </c>
      <c r="G217" s="41" t="str">
        <f aca="false">IF(AND(A217&lt;&gt;"",D217&gt;0.005),IF(A217&lt;=Grace,0,IF(A217=NPer,D217,IF(Method="Equal principal (reducing payments)",MIN(ROUND(EqPrin,2),D217),MIN(ROUND(Annuity-F217,2),D217)))),"")</f>
        <v/>
      </c>
      <c r="H217" s="41" t="str">
        <f aca="false">IF(AND(A217&lt;&gt;"",D217&gt;0.005),IF(A217&lt;=Grace,0,MIN(Extra,D217-G217)),"")</f>
        <v/>
      </c>
      <c r="I217" s="41" t="str">
        <f aca="false">IF(AND(A217&lt;&gt;"",D217&gt;0.005),MIN(SUMIF(LumpN,A217,LumpAmt),D217-G217-H217),"")</f>
        <v/>
      </c>
      <c r="J217" s="42" t="str">
        <f aca="false">IF(AND(A217&lt;&gt;"",D217&gt;0.005),E217+H217+I217,"")</f>
        <v/>
      </c>
      <c r="K217" s="42" t="str">
        <f aca="false">IF(AND(A217&lt;&gt;"",D217&gt;0.005),ROUND(D217-G217-H217-I217,2),"")</f>
        <v/>
      </c>
      <c r="L217" s="41" t="str">
        <f aca="false">IF(AND(A217&lt;&gt;"",D217&gt;0.005),L216+F217,"")</f>
        <v/>
      </c>
      <c r="M217" s="41" t="str">
        <f aca="false">IF(AND(A217&lt;&gt;"",D217&gt;0.005),M216+G217+H217+I217,"")</f>
        <v/>
      </c>
      <c r="N217" s="43" t="str">
        <f aca="false">IF(B217="","",YEAR(B217))</f>
        <v/>
      </c>
      <c r="O217" s="44" t="n">
        <f aca="false">IF(AND(A217&lt;&gt;"",D217&gt;0.005),J217,0)</f>
        <v>0</v>
      </c>
      <c r="P217" s="44" t="n">
        <f aca="false">R216</f>
        <v>0</v>
      </c>
      <c r="Q217" s="44" t="n">
        <f aca="false">IF(AND(P217&gt;0.005,210&lt;=NPer),ROUND(P217*RP,2),0)</f>
        <v>0</v>
      </c>
      <c r="R217" s="44" t="n">
        <f aca="false">IF(AND(P217&gt;0.005,210&lt;=NPer),ROUND(P217-IF(210&lt;=Grace,0,IF(210=NPer,P217,IF(Method="Equal principal (reducing payments)",MIN(ROUND(EqPrin,2),P217),MIN(ROUND(Annuity-Q217,2),P217)))),2),0)</f>
        <v>0</v>
      </c>
    </row>
    <row r="218" customFormat="false" ht="15" hidden="false" customHeight="false" outlineLevel="0" collapsed="false">
      <c r="A218" s="38" t="str">
        <f aca="false">IF(AND(N(K217)&gt;0.005,A217&lt;NPer),A217+1,"")</f>
        <v/>
      </c>
      <c r="B218" s="39" t="str">
        <f aca="false">IF(A218="","",EDATE(Disb,A218*MPP))</f>
        <v/>
      </c>
      <c r="C218" s="40" t="str">
        <f aca="false">IF(A218="","",IF(A218&lt;=Grace,"Grace","Repayment"))</f>
        <v/>
      </c>
      <c r="D218" s="41" t="str">
        <f aca="false">IF(A218="","",K217)</f>
        <v/>
      </c>
      <c r="E218" s="41" t="str">
        <f aca="false">IF(AND(A218&lt;&gt;"",D218&gt;0.005),F218+G218,"")</f>
        <v/>
      </c>
      <c r="F218" s="41" t="str">
        <f aca="false">IF(AND(A218&lt;&gt;"",D218&gt;0.005),ROUND(D218*RP,2),"")</f>
        <v/>
      </c>
      <c r="G218" s="41" t="str">
        <f aca="false">IF(AND(A218&lt;&gt;"",D218&gt;0.005),IF(A218&lt;=Grace,0,IF(A218=NPer,D218,IF(Method="Equal principal (reducing payments)",MIN(ROUND(EqPrin,2),D218),MIN(ROUND(Annuity-F218,2),D218)))),"")</f>
        <v/>
      </c>
      <c r="H218" s="41" t="str">
        <f aca="false">IF(AND(A218&lt;&gt;"",D218&gt;0.005),IF(A218&lt;=Grace,0,MIN(Extra,D218-G218)),"")</f>
        <v/>
      </c>
      <c r="I218" s="41" t="str">
        <f aca="false">IF(AND(A218&lt;&gt;"",D218&gt;0.005),MIN(SUMIF(LumpN,A218,LumpAmt),D218-G218-H218),"")</f>
        <v/>
      </c>
      <c r="J218" s="42" t="str">
        <f aca="false">IF(AND(A218&lt;&gt;"",D218&gt;0.005),E218+H218+I218,"")</f>
        <v/>
      </c>
      <c r="K218" s="42" t="str">
        <f aca="false">IF(AND(A218&lt;&gt;"",D218&gt;0.005),ROUND(D218-G218-H218-I218,2),"")</f>
        <v/>
      </c>
      <c r="L218" s="41" t="str">
        <f aca="false">IF(AND(A218&lt;&gt;"",D218&gt;0.005),L217+F218,"")</f>
        <v/>
      </c>
      <c r="M218" s="41" t="str">
        <f aca="false">IF(AND(A218&lt;&gt;"",D218&gt;0.005),M217+G218+H218+I218,"")</f>
        <v/>
      </c>
      <c r="N218" s="43" t="str">
        <f aca="false">IF(B218="","",YEAR(B218))</f>
        <v/>
      </c>
      <c r="O218" s="44" t="n">
        <f aca="false">IF(AND(A218&lt;&gt;"",D218&gt;0.005),J218,0)</f>
        <v>0</v>
      </c>
      <c r="P218" s="44" t="n">
        <f aca="false">R217</f>
        <v>0</v>
      </c>
      <c r="Q218" s="44" t="n">
        <f aca="false">IF(AND(P218&gt;0.005,211&lt;=NPer),ROUND(P218*RP,2),0)</f>
        <v>0</v>
      </c>
      <c r="R218" s="44" t="n">
        <f aca="false">IF(AND(P218&gt;0.005,211&lt;=NPer),ROUND(P218-IF(211&lt;=Grace,0,IF(211=NPer,P218,IF(Method="Equal principal (reducing payments)",MIN(ROUND(EqPrin,2),P218),MIN(ROUND(Annuity-Q218,2),P218)))),2),0)</f>
        <v>0</v>
      </c>
    </row>
    <row r="219" customFormat="false" ht="15" hidden="false" customHeight="false" outlineLevel="0" collapsed="false">
      <c r="A219" s="38" t="str">
        <f aca="false">IF(AND(N(K218)&gt;0.005,A218&lt;NPer),A218+1,"")</f>
        <v/>
      </c>
      <c r="B219" s="39" t="str">
        <f aca="false">IF(A219="","",EDATE(Disb,A219*MPP))</f>
        <v/>
      </c>
      <c r="C219" s="40" t="str">
        <f aca="false">IF(A219="","",IF(A219&lt;=Grace,"Grace","Repayment"))</f>
        <v/>
      </c>
      <c r="D219" s="41" t="str">
        <f aca="false">IF(A219="","",K218)</f>
        <v/>
      </c>
      <c r="E219" s="41" t="str">
        <f aca="false">IF(AND(A219&lt;&gt;"",D219&gt;0.005),F219+G219,"")</f>
        <v/>
      </c>
      <c r="F219" s="41" t="str">
        <f aca="false">IF(AND(A219&lt;&gt;"",D219&gt;0.005),ROUND(D219*RP,2),"")</f>
        <v/>
      </c>
      <c r="G219" s="41" t="str">
        <f aca="false">IF(AND(A219&lt;&gt;"",D219&gt;0.005),IF(A219&lt;=Grace,0,IF(A219=NPer,D219,IF(Method="Equal principal (reducing payments)",MIN(ROUND(EqPrin,2),D219),MIN(ROUND(Annuity-F219,2),D219)))),"")</f>
        <v/>
      </c>
      <c r="H219" s="41" t="str">
        <f aca="false">IF(AND(A219&lt;&gt;"",D219&gt;0.005),IF(A219&lt;=Grace,0,MIN(Extra,D219-G219)),"")</f>
        <v/>
      </c>
      <c r="I219" s="41" t="str">
        <f aca="false">IF(AND(A219&lt;&gt;"",D219&gt;0.005),MIN(SUMIF(LumpN,A219,LumpAmt),D219-G219-H219),"")</f>
        <v/>
      </c>
      <c r="J219" s="42" t="str">
        <f aca="false">IF(AND(A219&lt;&gt;"",D219&gt;0.005),E219+H219+I219,"")</f>
        <v/>
      </c>
      <c r="K219" s="42" t="str">
        <f aca="false">IF(AND(A219&lt;&gt;"",D219&gt;0.005),ROUND(D219-G219-H219-I219,2),"")</f>
        <v/>
      </c>
      <c r="L219" s="41" t="str">
        <f aca="false">IF(AND(A219&lt;&gt;"",D219&gt;0.005),L218+F219,"")</f>
        <v/>
      </c>
      <c r="M219" s="41" t="str">
        <f aca="false">IF(AND(A219&lt;&gt;"",D219&gt;0.005),M218+G219+H219+I219,"")</f>
        <v/>
      </c>
      <c r="N219" s="43" t="str">
        <f aca="false">IF(B219="","",YEAR(B219))</f>
        <v/>
      </c>
      <c r="O219" s="44" t="n">
        <f aca="false">IF(AND(A219&lt;&gt;"",D219&gt;0.005),J219,0)</f>
        <v>0</v>
      </c>
      <c r="P219" s="44" t="n">
        <f aca="false">R218</f>
        <v>0</v>
      </c>
      <c r="Q219" s="44" t="n">
        <f aca="false">IF(AND(P219&gt;0.005,212&lt;=NPer),ROUND(P219*RP,2),0)</f>
        <v>0</v>
      </c>
      <c r="R219" s="44" t="n">
        <f aca="false">IF(AND(P219&gt;0.005,212&lt;=NPer),ROUND(P219-IF(212&lt;=Grace,0,IF(212=NPer,P219,IF(Method="Equal principal (reducing payments)",MIN(ROUND(EqPrin,2),P219),MIN(ROUND(Annuity-Q219,2),P219)))),2),0)</f>
        <v>0</v>
      </c>
    </row>
    <row r="220" customFormat="false" ht="15" hidden="false" customHeight="false" outlineLevel="0" collapsed="false">
      <c r="A220" s="38" t="str">
        <f aca="false">IF(AND(N(K219)&gt;0.005,A219&lt;NPer),A219+1,"")</f>
        <v/>
      </c>
      <c r="B220" s="39" t="str">
        <f aca="false">IF(A220="","",EDATE(Disb,A220*MPP))</f>
        <v/>
      </c>
      <c r="C220" s="40" t="str">
        <f aca="false">IF(A220="","",IF(A220&lt;=Grace,"Grace","Repayment"))</f>
        <v/>
      </c>
      <c r="D220" s="41" t="str">
        <f aca="false">IF(A220="","",K219)</f>
        <v/>
      </c>
      <c r="E220" s="41" t="str">
        <f aca="false">IF(AND(A220&lt;&gt;"",D220&gt;0.005),F220+G220,"")</f>
        <v/>
      </c>
      <c r="F220" s="41" t="str">
        <f aca="false">IF(AND(A220&lt;&gt;"",D220&gt;0.005),ROUND(D220*RP,2),"")</f>
        <v/>
      </c>
      <c r="G220" s="41" t="str">
        <f aca="false">IF(AND(A220&lt;&gt;"",D220&gt;0.005),IF(A220&lt;=Grace,0,IF(A220=NPer,D220,IF(Method="Equal principal (reducing payments)",MIN(ROUND(EqPrin,2),D220),MIN(ROUND(Annuity-F220,2),D220)))),"")</f>
        <v/>
      </c>
      <c r="H220" s="41" t="str">
        <f aca="false">IF(AND(A220&lt;&gt;"",D220&gt;0.005),IF(A220&lt;=Grace,0,MIN(Extra,D220-G220)),"")</f>
        <v/>
      </c>
      <c r="I220" s="41" t="str">
        <f aca="false">IF(AND(A220&lt;&gt;"",D220&gt;0.005),MIN(SUMIF(LumpN,A220,LumpAmt),D220-G220-H220),"")</f>
        <v/>
      </c>
      <c r="J220" s="42" t="str">
        <f aca="false">IF(AND(A220&lt;&gt;"",D220&gt;0.005),E220+H220+I220,"")</f>
        <v/>
      </c>
      <c r="K220" s="42" t="str">
        <f aca="false">IF(AND(A220&lt;&gt;"",D220&gt;0.005),ROUND(D220-G220-H220-I220,2),"")</f>
        <v/>
      </c>
      <c r="L220" s="41" t="str">
        <f aca="false">IF(AND(A220&lt;&gt;"",D220&gt;0.005),L219+F220,"")</f>
        <v/>
      </c>
      <c r="M220" s="41" t="str">
        <f aca="false">IF(AND(A220&lt;&gt;"",D220&gt;0.005),M219+G220+H220+I220,"")</f>
        <v/>
      </c>
      <c r="N220" s="43" t="str">
        <f aca="false">IF(B220="","",YEAR(B220))</f>
        <v/>
      </c>
      <c r="O220" s="44" t="n">
        <f aca="false">IF(AND(A220&lt;&gt;"",D220&gt;0.005),J220,0)</f>
        <v>0</v>
      </c>
      <c r="P220" s="44" t="n">
        <f aca="false">R219</f>
        <v>0</v>
      </c>
      <c r="Q220" s="44" t="n">
        <f aca="false">IF(AND(P220&gt;0.005,213&lt;=NPer),ROUND(P220*RP,2),0)</f>
        <v>0</v>
      </c>
      <c r="R220" s="44" t="n">
        <f aca="false">IF(AND(P220&gt;0.005,213&lt;=NPer),ROUND(P220-IF(213&lt;=Grace,0,IF(213=NPer,P220,IF(Method="Equal principal (reducing payments)",MIN(ROUND(EqPrin,2),P220),MIN(ROUND(Annuity-Q220,2),P220)))),2),0)</f>
        <v>0</v>
      </c>
    </row>
    <row r="221" customFormat="false" ht="15" hidden="false" customHeight="false" outlineLevel="0" collapsed="false">
      <c r="A221" s="38" t="str">
        <f aca="false">IF(AND(N(K220)&gt;0.005,A220&lt;NPer),A220+1,"")</f>
        <v/>
      </c>
      <c r="B221" s="39" t="str">
        <f aca="false">IF(A221="","",EDATE(Disb,A221*MPP))</f>
        <v/>
      </c>
      <c r="C221" s="40" t="str">
        <f aca="false">IF(A221="","",IF(A221&lt;=Grace,"Grace","Repayment"))</f>
        <v/>
      </c>
      <c r="D221" s="41" t="str">
        <f aca="false">IF(A221="","",K220)</f>
        <v/>
      </c>
      <c r="E221" s="41" t="str">
        <f aca="false">IF(AND(A221&lt;&gt;"",D221&gt;0.005),F221+G221,"")</f>
        <v/>
      </c>
      <c r="F221" s="41" t="str">
        <f aca="false">IF(AND(A221&lt;&gt;"",D221&gt;0.005),ROUND(D221*RP,2),"")</f>
        <v/>
      </c>
      <c r="G221" s="41" t="str">
        <f aca="false">IF(AND(A221&lt;&gt;"",D221&gt;0.005),IF(A221&lt;=Grace,0,IF(A221=NPer,D221,IF(Method="Equal principal (reducing payments)",MIN(ROUND(EqPrin,2),D221),MIN(ROUND(Annuity-F221,2),D221)))),"")</f>
        <v/>
      </c>
      <c r="H221" s="41" t="str">
        <f aca="false">IF(AND(A221&lt;&gt;"",D221&gt;0.005),IF(A221&lt;=Grace,0,MIN(Extra,D221-G221)),"")</f>
        <v/>
      </c>
      <c r="I221" s="41" t="str">
        <f aca="false">IF(AND(A221&lt;&gt;"",D221&gt;0.005),MIN(SUMIF(LumpN,A221,LumpAmt),D221-G221-H221),"")</f>
        <v/>
      </c>
      <c r="J221" s="42" t="str">
        <f aca="false">IF(AND(A221&lt;&gt;"",D221&gt;0.005),E221+H221+I221,"")</f>
        <v/>
      </c>
      <c r="K221" s="42" t="str">
        <f aca="false">IF(AND(A221&lt;&gt;"",D221&gt;0.005),ROUND(D221-G221-H221-I221,2),"")</f>
        <v/>
      </c>
      <c r="L221" s="41" t="str">
        <f aca="false">IF(AND(A221&lt;&gt;"",D221&gt;0.005),L220+F221,"")</f>
        <v/>
      </c>
      <c r="M221" s="41" t="str">
        <f aca="false">IF(AND(A221&lt;&gt;"",D221&gt;0.005),M220+G221+H221+I221,"")</f>
        <v/>
      </c>
      <c r="N221" s="43" t="str">
        <f aca="false">IF(B221="","",YEAR(B221))</f>
        <v/>
      </c>
      <c r="O221" s="44" t="n">
        <f aca="false">IF(AND(A221&lt;&gt;"",D221&gt;0.005),J221,0)</f>
        <v>0</v>
      </c>
      <c r="P221" s="44" t="n">
        <f aca="false">R220</f>
        <v>0</v>
      </c>
      <c r="Q221" s="44" t="n">
        <f aca="false">IF(AND(P221&gt;0.005,214&lt;=NPer),ROUND(P221*RP,2),0)</f>
        <v>0</v>
      </c>
      <c r="R221" s="44" t="n">
        <f aca="false">IF(AND(P221&gt;0.005,214&lt;=NPer),ROUND(P221-IF(214&lt;=Grace,0,IF(214=NPer,P221,IF(Method="Equal principal (reducing payments)",MIN(ROUND(EqPrin,2),P221),MIN(ROUND(Annuity-Q221,2),P221)))),2),0)</f>
        <v>0</v>
      </c>
    </row>
    <row r="222" customFormat="false" ht="15" hidden="false" customHeight="false" outlineLevel="0" collapsed="false">
      <c r="A222" s="38" t="str">
        <f aca="false">IF(AND(N(K221)&gt;0.005,A221&lt;NPer),A221+1,"")</f>
        <v/>
      </c>
      <c r="B222" s="39" t="str">
        <f aca="false">IF(A222="","",EDATE(Disb,A222*MPP))</f>
        <v/>
      </c>
      <c r="C222" s="40" t="str">
        <f aca="false">IF(A222="","",IF(A222&lt;=Grace,"Grace","Repayment"))</f>
        <v/>
      </c>
      <c r="D222" s="41" t="str">
        <f aca="false">IF(A222="","",K221)</f>
        <v/>
      </c>
      <c r="E222" s="41" t="str">
        <f aca="false">IF(AND(A222&lt;&gt;"",D222&gt;0.005),F222+G222,"")</f>
        <v/>
      </c>
      <c r="F222" s="41" t="str">
        <f aca="false">IF(AND(A222&lt;&gt;"",D222&gt;0.005),ROUND(D222*RP,2),"")</f>
        <v/>
      </c>
      <c r="G222" s="41" t="str">
        <f aca="false">IF(AND(A222&lt;&gt;"",D222&gt;0.005),IF(A222&lt;=Grace,0,IF(A222=NPer,D222,IF(Method="Equal principal (reducing payments)",MIN(ROUND(EqPrin,2),D222),MIN(ROUND(Annuity-F222,2),D222)))),"")</f>
        <v/>
      </c>
      <c r="H222" s="41" t="str">
        <f aca="false">IF(AND(A222&lt;&gt;"",D222&gt;0.005),IF(A222&lt;=Grace,0,MIN(Extra,D222-G222)),"")</f>
        <v/>
      </c>
      <c r="I222" s="41" t="str">
        <f aca="false">IF(AND(A222&lt;&gt;"",D222&gt;0.005),MIN(SUMIF(LumpN,A222,LumpAmt),D222-G222-H222),"")</f>
        <v/>
      </c>
      <c r="J222" s="42" t="str">
        <f aca="false">IF(AND(A222&lt;&gt;"",D222&gt;0.005),E222+H222+I222,"")</f>
        <v/>
      </c>
      <c r="K222" s="42" t="str">
        <f aca="false">IF(AND(A222&lt;&gt;"",D222&gt;0.005),ROUND(D222-G222-H222-I222,2),"")</f>
        <v/>
      </c>
      <c r="L222" s="41" t="str">
        <f aca="false">IF(AND(A222&lt;&gt;"",D222&gt;0.005),L221+F222,"")</f>
        <v/>
      </c>
      <c r="M222" s="41" t="str">
        <f aca="false">IF(AND(A222&lt;&gt;"",D222&gt;0.005),M221+G222+H222+I222,"")</f>
        <v/>
      </c>
      <c r="N222" s="43" t="str">
        <f aca="false">IF(B222="","",YEAR(B222))</f>
        <v/>
      </c>
      <c r="O222" s="44" t="n">
        <f aca="false">IF(AND(A222&lt;&gt;"",D222&gt;0.005),J222,0)</f>
        <v>0</v>
      </c>
      <c r="P222" s="44" t="n">
        <f aca="false">R221</f>
        <v>0</v>
      </c>
      <c r="Q222" s="44" t="n">
        <f aca="false">IF(AND(P222&gt;0.005,215&lt;=NPer),ROUND(P222*RP,2),0)</f>
        <v>0</v>
      </c>
      <c r="R222" s="44" t="n">
        <f aca="false">IF(AND(P222&gt;0.005,215&lt;=NPer),ROUND(P222-IF(215&lt;=Grace,0,IF(215=NPer,P222,IF(Method="Equal principal (reducing payments)",MIN(ROUND(EqPrin,2),P222),MIN(ROUND(Annuity-Q222,2),P222)))),2),0)</f>
        <v>0</v>
      </c>
    </row>
    <row r="223" customFormat="false" ht="15" hidden="false" customHeight="false" outlineLevel="0" collapsed="false">
      <c r="A223" s="38" t="str">
        <f aca="false">IF(AND(N(K222)&gt;0.005,A222&lt;NPer),A222+1,"")</f>
        <v/>
      </c>
      <c r="B223" s="39" t="str">
        <f aca="false">IF(A223="","",EDATE(Disb,A223*MPP))</f>
        <v/>
      </c>
      <c r="C223" s="40" t="str">
        <f aca="false">IF(A223="","",IF(A223&lt;=Grace,"Grace","Repayment"))</f>
        <v/>
      </c>
      <c r="D223" s="41" t="str">
        <f aca="false">IF(A223="","",K222)</f>
        <v/>
      </c>
      <c r="E223" s="41" t="str">
        <f aca="false">IF(AND(A223&lt;&gt;"",D223&gt;0.005),F223+G223,"")</f>
        <v/>
      </c>
      <c r="F223" s="41" t="str">
        <f aca="false">IF(AND(A223&lt;&gt;"",D223&gt;0.005),ROUND(D223*RP,2),"")</f>
        <v/>
      </c>
      <c r="G223" s="41" t="str">
        <f aca="false">IF(AND(A223&lt;&gt;"",D223&gt;0.005),IF(A223&lt;=Grace,0,IF(A223=NPer,D223,IF(Method="Equal principal (reducing payments)",MIN(ROUND(EqPrin,2),D223),MIN(ROUND(Annuity-F223,2),D223)))),"")</f>
        <v/>
      </c>
      <c r="H223" s="41" t="str">
        <f aca="false">IF(AND(A223&lt;&gt;"",D223&gt;0.005),IF(A223&lt;=Grace,0,MIN(Extra,D223-G223)),"")</f>
        <v/>
      </c>
      <c r="I223" s="41" t="str">
        <f aca="false">IF(AND(A223&lt;&gt;"",D223&gt;0.005),MIN(SUMIF(LumpN,A223,LumpAmt),D223-G223-H223),"")</f>
        <v/>
      </c>
      <c r="J223" s="42" t="str">
        <f aca="false">IF(AND(A223&lt;&gt;"",D223&gt;0.005),E223+H223+I223,"")</f>
        <v/>
      </c>
      <c r="K223" s="42" t="str">
        <f aca="false">IF(AND(A223&lt;&gt;"",D223&gt;0.005),ROUND(D223-G223-H223-I223,2),"")</f>
        <v/>
      </c>
      <c r="L223" s="41" t="str">
        <f aca="false">IF(AND(A223&lt;&gt;"",D223&gt;0.005),L222+F223,"")</f>
        <v/>
      </c>
      <c r="M223" s="41" t="str">
        <f aca="false">IF(AND(A223&lt;&gt;"",D223&gt;0.005),M222+G223+H223+I223,"")</f>
        <v/>
      </c>
      <c r="N223" s="43" t="str">
        <f aca="false">IF(B223="","",YEAR(B223))</f>
        <v/>
      </c>
      <c r="O223" s="44" t="n">
        <f aca="false">IF(AND(A223&lt;&gt;"",D223&gt;0.005),J223,0)</f>
        <v>0</v>
      </c>
      <c r="P223" s="44" t="n">
        <f aca="false">R222</f>
        <v>0</v>
      </c>
      <c r="Q223" s="44" t="n">
        <f aca="false">IF(AND(P223&gt;0.005,216&lt;=NPer),ROUND(P223*RP,2),0)</f>
        <v>0</v>
      </c>
      <c r="R223" s="44" t="n">
        <f aca="false">IF(AND(P223&gt;0.005,216&lt;=NPer),ROUND(P223-IF(216&lt;=Grace,0,IF(216=NPer,P223,IF(Method="Equal principal (reducing payments)",MIN(ROUND(EqPrin,2),P223),MIN(ROUND(Annuity-Q223,2),P223)))),2),0)</f>
        <v>0</v>
      </c>
    </row>
    <row r="224" customFormat="false" ht="15" hidden="false" customHeight="false" outlineLevel="0" collapsed="false">
      <c r="A224" s="38" t="str">
        <f aca="false">IF(AND(N(K223)&gt;0.005,A223&lt;NPer),A223+1,"")</f>
        <v/>
      </c>
      <c r="B224" s="39" t="str">
        <f aca="false">IF(A224="","",EDATE(Disb,A224*MPP))</f>
        <v/>
      </c>
      <c r="C224" s="40" t="str">
        <f aca="false">IF(A224="","",IF(A224&lt;=Grace,"Grace","Repayment"))</f>
        <v/>
      </c>
      <c r="D224" s="41" t="str">
        <f aca="false">IF(A224="","",K223)</f>
        <v/>
      </c>
      <c r="E224" s="41" t="str">
        <f aca="false">IF(AND(A224&lt;&gt;"",D224&gt;0.005),F224+G224,"")</f>
        <v/>
      </c>
      <c r="F224" s="41" t="str">
        <f aca="false">IF(AND(A224&lt;&gt;"",D224&gt;0.005),ROUND(D224*RP,2),"")</f>
        <v/>
      </c>
      <c r="G224" s="41" t="str">
        <f aca="false">IF(AND(A224&lt;&gt;"",D224&gt;0.005),IF(A224&lt;=Grace,0,IF(A224=NPer,D224,IF(Method="Equal principal (reducing payments)",MIN(ROUND(EqPrin,2),D224),MIN(ROUND(Annuity-F224,2),D224)))),"")</f>
        <v/>
      </c>
      <c r="H224" s="41" t="str">
        <f aca="false">IF(AND(A224&lt;&gt;"",D224&gt;0.005),IF(A224&lt;=Grace,0,MIN(Extra,D224-G224)),"")</f>
        <v/>
      </c>
      <c r="I224" s="41" t="str">
        <f aca="false">IF(AND(A224&lt;&gt;"",D224&gt;0.005),MIN(SUMIF(LumpN,A224,LumpAmt),D224-G224-H224),"")</f>
        <v/>
      </c>
      <c r="J224" s="42" t="str">
        <f aca="false">IF(AND(A224&lt;&gt;"",D224&gt;0.005),E224+H224+I224,"")</f>
        <v/>
      </c>
      <c r="K224" s="42" t="str">
        <f aca="false">IF(AND(A224&lt;&gt;"",D224&gt;0.005),ROUND(D224-G224-H224-I224,2),"")</f>
        <v/>
      </c>
      <c r="L224" s="41" t="str">
        <f aca="false">IF(AND(A224&lt;&gt;"",D224&gt;0.005),L223+F224,"")</f>
        <v/>
      </c>
      <c r="M224" s="41" t="str">
        <f aca="false">IF(AND(A224&lt;&gt;"",D224&gt;0.005),M223+G224+H224+I224,"")</f>
        <v/>
      </c>
      <c r="N224" s="43" t="str">
        <f aca="false">IF(B224="","",YEAR(B224))</f>
        <v/>
      </c>
      <c r="O224" s="44" t="n">
        <f aca="false">IF(AND(A224&lt;&gt;"",D224&gt;0.005),J224,0)</f>
        <v>0</v>
      </c>
      <c r="P224" s="44" t="n">
        <f aca="false">R223</f>
        <v>0</v>
      </c>
      <c r="Q224" s="44" t="n">
        <f aca="false">IF(AND(P224&gt;0.005,217&lt;=NPer),ROUND(P224*RP,2),0)</f>
        <v>0</v>
      </c>
      <c r="R224" s="44" t="n">
        <f aca="false">IF(AND(P224&gt;0.005,217&lt;=NPer),ROUND(P224-IF(217&lt;=Grace,0,IF(217=NPer,P224,IF(Method="Equal principal (reducing payments)",MIN(ROUND(EqPrin,2),P224),MIN(ROUND(Annuity-Q224,2),P224)))),2),0)</f>
        <v>0</v>
      </c>
    </row>
    <row r="225" customFormat="false" ht="15" hidden="false" customHeight="false" outlineLevel="0" collapsed="false">
      <c r="A225" s="38" t="str">
        <f aca="false">IF(AND(N(K224)&gt;0.005,A224&lt;NPer),A224+1,"")</f>
        <v/>
      </c>
      <c r="B225" s="39" t="str">
        <f aca="false">IF(A225="","",EDATE(Disb,A225*MPP))</f>
        <v/>
      </c>
      <c r="C225" s="40" t="str">
        <f aca="false">IF(A225="","",IF(A225&lt;=Grace,"Grace","Repayment"))</f>
        <v/>
      </c>
      <c r="D225" s="41" t="str">
        <f aca="false">IF(A225="","",K224)</f>
        <v/>
      </c>
      <c r="E225" s="41" t="str">
        <f aca="false">IF(AND(A225&lt;&gt;"",D225&gt;0.005),F225+G225,"")</f>
        <v/>
      </c>
      <c r="F225" s="41" t="str">
        <f aca="false">IF(AND(A225&lt;&gt;"",D225&gt;0.005),ROUND(D225*RP,2),"")</f>
        <v/>
      </c>
      <c r="G225" s="41" t="str">
        <f aca="false">IF(AND(A225&lt;&gt;"",D225&gt;0.005),IF(A225&lt;=Grace,0,IF(A225=NPer,D225,IF(Method="Equal principal (reducing payments)",MIN(ROUND(EqPrin,2),D225),MIN(ROUND(Annuity-F225,2),D225)))),"")</f>
        <v/>
      </c>
      <c r="H225" s="41" t="str">
        <f aca="false">IF(AND(A225&lt;&gt;"",D225&gt;0.005),IF(A225&lt;=Grace,0,MIN(Extra,D225-G225)),"")</f>
        <v/>
      </c>
      <c r="I225" s="41" t="str">
        <f aca="false">IF(AND(A225&lt;&gt;"",D225&gt;0.005),MIN(SUMIF(LumpN,A225,LumpAmt),D225-G225-H225),"")</f>
        <v/>
      </c>
      <c r="J225" s="42" t="str">
        <f aca="false">IF(AND(A225&lt;&gt;"",D225&gt;0.005),E225+H225+I225,"")</f>
        <v/>
      </c>
      <c r="K225" s="42" t="str">
        <f aca="false">IF(AND(A225&lt;&gt;"",D225&gt;0.005),ROUND(D225-G225-H225-I225,2),"")</f>
        <v/>
      </c>
      <c r="L225" s="41" t="str">
        <f aca="false">IF(AND(A225&lt;&gt;"",D225&gt;0.005),L224+F225,"")</f>
        <v/>
      </c>
      <c r="M225" s="41" t="str">
        <f aca="false">IF(AND(A225&lt;&gt;"",D225&gt;0.005),M224+G225+H225+I225,"")</f>
        <v/>
      </c>
      <c r="N225" s="43" t="str">
        <f aca="false">IF(B225="","",YEAR(B225))</f>
        <v/>
      </c>
      <c r="O225" s="44" t="n">
        <f aca="false">IF(AND(A225&lt;&gt;"",D225&gt;0.005),J225,0)</f>
        <v>0</v>
      </c>
      <c r="P225" s="44" t="n">
        <f aca="false">R224</f>
        <v>0</v>
      </c>
      <c r="Q225" s="44" t="n">
        <f aca="false">IF(AND(P225&gt;0.005,218&lt;=NPer),ROUND(P225*RP,2),0)</f>
        <v>0</v>
      </c>
      <c r="R225" s="44" t="n">
        <f aca="false">IF(AND(P225&gt;0.005,218&lt;=NPer),ROUND(P225-IF(218&lt;=Grace,0,IF(218=NPer,P225,IF(Method="Equal principal (reducing payments)",MIN(ROUND(EqPrin,2),P225),MIN(ROUND(Annuity-Q225,2),P225)))),2),0)</f>
        <v>0</v>
      </c>
    </row>
    <row r="226" customFormat="false" ht="15" hidden="false" customHeight="false" outlineLevel="0" collapsed="false">
      <c r="A226" s="38" t="str">
        <f aca="false">IF(AND(N(K225)&gt;0.005,A225&lt;NPer),A225+1,"")</f>
        <v/>
      </c>
      <c r="B226" s="39" t="str">
        <f aca="false">IF(A226="","",EDATE(Disb,A226*MPP))</f>
        <v/>
      </c>
      <c r="C226" s="40" t="str">
        <f aca="false">IF(A226="","",IF(A226&lt;=Grace,"Grace","Repayment"))</f>
        <v/>
      </c>
      <c r="D226" s="41" t="str">
        <f aca="false">IF(A226="","",K225)</f>
        <v/>
      </c>
      <c r="E226" s="41" t="str">
        <f aca="false">IF(AND(A226&lt;&gt;"",D226&gt;0.005),F226+G226,"")</f>
        <v/>
      </c>
      <c r="F226" s="41" t="str">
        <f aca="false">IF(AND(A226&lt;&gt;"",D226&gt;0.005),ROUND(D226*RP,2),"")</f>
        <v/>
      </c>
      <c r="G226" s="41" t="str">
        <f aca="false">IF(AND(A226&lt;&gt;"",D226&gt;0.005),IF(A226&lt;=Grace,0,IF(A226=NPer,D226,IF(Method="Equal principal (reducing payments)",MIN(ROUND(EqPrin,2),D226),MIN(ROUND(Annuity-F226,2),D226)))),"")</f>
        <v/>
      </c>
      <c r="H226" s="41" t="str">
        <f aca="false">IF(AND(A226&lt;&gt;"",D226&gt;0.005),IF(A226&lt;=Grace,0,MIN(Extra,D226-G226)),"")</f>
        <v/>
      </c>
      <c r="I226" s="41" t="str">
        <f aca="false">IF(AND(A226&lt;&gt;"",D226&gt;0.005),MIN(SUMIF(LumpN,A226,LumpAmt),D226-G226-H226),"")</f>
        <v/>
      </c>
      <c r="J226" s="42" t="str">
        <f aca="false">IF(AND(A226&lt;&gt;"",D226&gt;0.005),E226+H226+I226,"")</f>
        <v/>
      </c>
      <c r="K226" s="42" t="str">
        <f aca="false">IF(AND(A226&lt;&gt;"",D226&gt;0.005),ROUND(D226-G226-H226-I226,2),"")</f>
        <v/>
      </c>
      <c r="L226" s="41" t="str">
        <f aca="false">IF(AND(A226&lt;&gt;"",D226&gt;0.005),L225+F226,"")</f>
        <v/>
      </c>
      <c r="M226" s="41" t="str">
        <f aca="false">IF(AND(A226&lt;&gt;"",D226&gt;0.005),M225+G226+H226+I226,"")</f>
        <v/>
      </c>
      <c r="N226" s="43" t="str">
        <f aca="false">IF(B226="","",YEAR(B226))</f>
        <v/>
      </c>
      <c r="O226" s="44" t="n">
        <f aca="false">IF(AND(A226&lt;&gt;"",D226&gt;0.005),J226,0)</f>
        <v>0</v>
      </c>
      <c r="P226" s="44" t="n">
        <f aca="false">R225</f>
        <v>0</v>
      </c>
      <c r="Q226" s="44" t="n">
        <f aca="false">IF(AND(P226&gt;0.005,219&lt;=NPer),ROUND(P226*RP,2),0)</f>
        <v>0</v>
      </c>
      <c r="R226" s="44" t="n">
        <f aca="false">IF(AND(P226&gt;0.005,219&lt;=NPer),ROUND(P226-IF(219&lt;=Grace,0,IF(219=NPer,P226,IF(Method="Equal principal (reducing payments)",MIN(ROUND(EqPrin,2),P226),MIN(ROUND(Annuity-Q226,2),P226)))),2),0)</f>
        <v>0</v>
      </c>
    </row>
    <row r="227" customFormat="false" ht="15" hidden="false" customHeight="false" outlineLevel="0" collapsed="false">
      <c r="A227" s="38" t="str">
        <f aca="false">IF(AND(N(K226)&gt;0.005,A226&lt;NPer),A226+1,"")</f>
        <v/>
      </c>
      <c r="B227" s="39" t="str">
        <f aca="false">IF(A227="","",EDATE(Disb,A227*MPP))</f>
        <v/>
      </c>
      <c r="C227" s="40" t="str">
        <f aca="false">IF(A227="","",IF(A227&lt;=Grace,"Grace","Repayment"))</f>
        <v/>
      </c>
      <c r="D227" s="41" t="str">
        <f aca="false">IF(A227="","",K226)</f>
        <v/>
      </c>
      <c r="E227" s="41" t="str">
        <f aca="false">IF(AND(A227&lt;&gt;"",D227&gt;0.005),F227+G227,"")</f>
        <v/>
      </c>
      <c r="F227" s="41" t="str">
        <f aca="false">IF(AND(A227&lt;&gt;"",D227&gt;0.005),ROUND(D227*RP,2),"")</f>
        <v/>
      </c>
      <c r="G227" s="41" t="str">
        <f aca="false">IF(AND(A227&lt;&gt;"",D227&gt;0.005),IF(A227&lt;=Grace,0,IF(A227=NPer,D227,IF(Method="Equal principal (reducing payments)",MIN(ROUND(EqPrin,2),D227),MIN(ROUND(Annuity-F227,2),D227)))),"")</f>
        <v/>
      </c>
      <c r="H227" s="41" t="str">
        <f aca="false">IF(AND(A227&lt;&gt;"",D227&gt;0.005),IF(A227&lt;=Grace,0,MIN(Extra,D227-G227)),"")</f>
        <v/>
      </c>
      <c r="I227" s="41" t="str">
        <f aca="false">IF(AND(A227&lt;&gt;"",D227&gt;0.005),MIN(SUMIF(LumpN,A227,LumpAmt),D227-G227-H227),"")</f>
        <v/>
      </c>
      <c r="J227" s="42" t="str">
        <f aca="false">IF(AND(A227&lt;&gt;"",D227&gt;0.005),E227+H227+I227,"")</f>
        <v/>
      </c>
      <c r="K227" s="42" t="str">
        <f aca="false">IF(AND(A227&lt;&gt;"",D227&gt;0.005),ROUND(D227-G227-H227-I227,2),"")</f>
        <v/>
      </c>
      <c r="L227" s="41" t="str">
        <f aca="false">IF(AND(A227&lt;&gt;"",D227&gt;0.005),L226+F227,"")</f>
        <v/>
      </c>
      <c r="M227" s="41" t="str">
        <f aca="false">IF(AND(A227&lt;&gt;"",D227&gt;0.005),M226+G227+H227+I227,"")</f>
        <v/>
      </c>
      <c r="N227" s="43" t="str">
        <f aca="false">IF(B227="","",YEAR(B227))</f>
        <v/>
      </c>
      <c r="O227" s="44" t="n">
        <f aca="false">IF(AND(A227&lt;&gt;"",D227&gt;0.005),J227,0)</f>
        <v>0</v>
      </c>
      <c r="P227" s="44" t="n">
        <f aca="false">R226</f>
        <v>0</v>
      </c>
      <c r="Q227" s="44" t="n">
        <f aca="false">IF(AND(P227&gt;0.005,220&lt;=NPer),ROUND(P227*RP,2),0)</f>
        <v>0</v>
      </c>
      <c r="R227" s="44" t="n">
        <f aca="false">IF(AND(P227&gt;0.005,220&lt;=NPer),ROUND(P227-IF(220&lt;=Grace,0,IF(220=NPer,P227,IF(Method="Equal principal (reducing payments)",MIN(ROUND(EqPrin,2),P227),MIN(ROUND(Annuity-Q227,2),P227)))),2),0)</f>
        <v>0</v>
      </c>
    </row>
    <row r="228" customFormat="false" ht="15" hidden="false" customHeight="false" outlineLevel="0" collapsed="false">
      <c r="A228" s="38" t="str">
        <f aca="false">IF(AND(N(K227)&gt;0.005,A227&lt;NPer),A227+1,"")</f>
        <v/>
      </c>
      <c r="B228" s="39" t="str">
        <f aca="false">IF(A228="","",EDATE(Disb,A228*MPP))</f>
        <v/>
      </c>
      <c r="C228" s="40" t="str">
        <f aca="false">IF(A228="","",IF(A228&lt;=Grace,"Grace","Repayment"))</f>
        <v/>
      </c>
      <c r="D228" s="41" t="str">
        <f aca="false">IF(A228="","",K227)</f>
        <v/>
      </c>
      <c r="E228" s="41" t="str">
        <f aca="false">IF(AND(A228&lt;&gt;"",D228&gt;0.005),F228+G228,"")</f>
        <v/>
      </c>
      <c r="F228" s="41" t="str">
        <f aca="false">IF(AND(A228&lt;&gt;"",D228&gt;0.005),ROUND(D228*RP,2),"")</f>
        <v/>
      </c>
      <c r="G228" s="41" t="str">
        <f aca="false">IF(AND(A228&lt;&gt;"",D228&gt;0.005),IF(A228&lt;=Grace,0,IF(A228=NPer,D228,IF(Method="Equal principal (reducing payments)",MIN(ROUND(EqPrin,2),D228),MIN(ROUND(Annuity-F228,2),D228)))),"")</f>
        <v/>
      </c>
      <c r="H228" s="41" t="str">
        <f aca="false">IF(AND(A228&lt;&gt;"",D228&gt;0.005),IF(A228&lt;=Grace,0,MIN(Extra,D228-G228)),"")</f>
        <v/>
      </c>
      <c r="I228" s="41" t="str">
        <f aca="false">IF(AND(A228&lt;&gt;"",D228&gt;0.005),MIN(SUMIF(LumpN,A228,LumpAmt),D228-G228-H228),"")</f>
        <v/>
      </c>
      <c r="J228" s="42" t="str">
        <f aca="false">IF(AND(A228&lt;&gt;"",D228&gt;0.005),E228+H228+I228,"")</f>
        <v/>
      </c>
      <c r="K228" s="42" t="str">
        <f aca="false">IF(AND(A228&lt;&gt;"",D228&gt;0.005),ROUND(D228-G228-H228-I228,2),"")</f>
        <v/>
      </c>
      <c r="L228" s="41" t="str">
        <f aca="false">IF(AND(A228&lt;&gt;"",D228&gt;0.005),L227+F228,"")</f>
        <v/>
      </c>
      <c r="M228" s="41" t="str">
        <f aca="false">IF(AND(A228&lt;&gt;"",D228&gt;0.005),M227+G228+H228+I228,"")</f>
        <v/>
      </c>
      <c r="N228" s="43" t="str">
        <f aca="false">IF(B228="","",YEAR(B228))</f>
        <v/>
      </c>
      <c r="O228" s="44" t="n">
        <f aca="false">IF(AND(A228&lt;&gt;"",D228&gt;0.005),J228,0)</f>
        <v>0</v>
      </c>
      <c r="P228" s="44" t="n">
        <f aca="false">R227</f>
        <v>0</v>
      </c>
      <c r="Q228" s="44" t="n">
        <f aca="false">IF(AND(P228&gt;0.005,221&lt;=NPer),ROUND(P228*RP,2),0)</f>
        <v>0</v>
      </c>
      <c r="R228" s="44" t="n">
        <f aca="false">IF(AND(P228&gt;0.005,221&lt;=NPer),ROUND(P228-IF(221&lt;=Grace,0,IF(221=NPer,P228,IF(Method="Equal principal (reducing payments)",MIN(ROUND(EqPrin,2),P228),MIN(ROUND(Annuity-Q228,2),P228)))),2),0)</f>
        <v>0</v>
      </c>
    </row>
    <row r="229" customFormat="false" ht="15" hidden="false" customHeight="false" outlineLevel="0" collapsed="false">
      <c r="A229" s="38" t="str">
        <f aca="false">IF(AND(N(K228)&gt;0.005,A228&lt;NPer),A228+1,"")</f>
        <v/>
      </c>
      <c r="B229" s="39" t="str">
        <f aca="false">IF(A229="","",EDATE(Disb,A229*MPP))</f>
        <v/>
      </c>
      <c r="C229" s="40" t="str">
        <f aca="false">IF(A229="","",IF(A229&lt;=Grace,"Grace","Repayment"))</f>
        <v/>
      </c>
      <c r="D229" s="41" t="str">
        <f aca="false">IF(A229="","",K228)</f>
        <v/>
      </c>
      <c r="E229" s="41" t="str">
        <f aca="false">IF(AND(A229&lt;&gt;"",D229&gt;0.005),F229+G229,"")</f>
        <v/>
      </c>
      <c r="F229" s="41" t="str">
        <f aca="false">IF(AND(A229&lt;&gt;"",D229&gt;0.005),ROUND(D229*RP,2),"")</f>
        <v/>
      </c>
      <c r="G229" s="41" t="str">
        <f aca="false">IF(AND(A229&lt;&gt;"",D229&gt;0.005),IF(A229&lt;=Grace,0,IF(A229=NPer,D229,IF(Method="Equal principal (reducing payments)",MIN(ROUND(EqPrin,2),D229),MIN(ROUND(Annuity-F229,2),D229)))),"")</f>
        <v/>
      </c>
      <c r="H229" s="41" t="str">
        <f aca="false">IF(AND(A229&lt;&gt;"",D229&gt;0.005),IF(A229&lt;=Grace,0,MIN(Extra,D229-G229)),"")</f>
        <v/>
      </c>
      <c r="I229" s="41" t="str">
        <f aca="false">IF(AND(A229&lt;&gt;"",D229&gt;0.005),MIN(SUMIF(LumpN,A229,LumpAmt),D229-G229-H229),"")</f>
        <v/>
      </c>
      <c r="J229" s="42" t="str">
        <f aca="false">IF(AND(A229&lt;&gt;"",D229&gt;0.005),E229+H229+I229,"")</f>
        <v/>
      </c>
      <c r="K229" s="42" t="str">
        <f aca="false">IF(AND(A229&lt;&gt;"",D229&gt;0.005),ROUND(D229-G229-H229-I229,2),"")</f>
        <v/>
      </c>
      <c r="L229" s="41" t="str">
        <f aca="false">IF(AND(A229&lt;&gt;"",D229&gt;0.005),L228+F229,"")</f>
        <v/>
      </c>
      <c r="M229" s="41" t="str">
        <f aca="false">IF(AND(A229&lt;&gt;"",D229&gt;0.005),M228+G229+H229+I229,"")</f>
        <v/>
      </c>
      <c r="N229" s="43" t="str">
        <f aca="false">IF(B229="","",YEAR(B229))</f>
        <v/>
      </c>
      <c r="O229" s="44" t="n">
        <f aca="false">IF(AND(A229&lt;&gt;"",D229&gt;0.005),J229,0)</f>
        <v>0</v>
      </c>
      <c r="P229" s="44" t="n">
        <f aca="false">R228</f>
        <v>0</v>
      </c>
      <c r="Q229" s="44" t="n">
        <f aca="false">IF(AND(P229&gt;0.005,222&lt;=NPer),ROUND(P229*RP,2),0)</f>
        <v>0</v>
      </c>
      <c r="R229" s="44" t="n">
        <f aca="false">IF(AND(P229&gt;0.005,222&lt;=NPer),ROUND(P229-IF(222&lt;=Grace,0,IF(222=NPer,P229,IF(Method="Equal principal (reducing payments)",MIN(ROUND(EqPrin,2),P229),MIN(ROUND(Annuity-Q229,2),P229)))),2),0)</f>
        <v>0</v>
      </c>
    </row>
    <row r="230" customFormat="false" ht="15" hidden="false" customHeight="false" outlineLevel="0" collapsed="false">
      <c r="A230" s="38" t="str">
        <f aca="false">IF(AND(N(K229)&gt;0.005,A229&lt;NPer),A229+1,"")</f>
        <v/>
      </c>
      <c r="B230" s="39" t="str">
        <f aca="false">IF(A230="","",EDATE(Disb,A230*MPP))</f>
        <v/>
      </c>
      <c r="C230" s="40" t="str">
        <f aca="false">IF(A230="","",IF(A230&lt;=Grace,"Grace","Repayment"))</f>
        <v/>
      </c>
      <c r="D230" s="41" t="str">
        <f aca="false">IF(A230="","",K229)</f>
        <v/>
      </c>
      <c r="E230" s="41" t="str">
        <f aca="false">IF(AND(A230&lt;&gt;"",D230&gt;0.005),F230+G230,"")</f>
        <v/>
      </c>
      <c r="F230" s="41" t="str">
        <f aca="false">IF(AND(A230&lt;&gt;"",D230&gt;0.005),ROUND(D230*RP,2),"")</f>
        <v/>
      </c>
      <c r="G230" s="41" t="str">
        <f aca="false">IF(AND(A230&lt;&gt;"",D230&gt;0.005),IF(A230&lt;=Grace,0,IF(A230=NPer,D230,IF(Method="Equal principal (reducing payments)",MIN(ROUND(EqPrin,2),D230),MIN(ROUND(Annuity-F230,2),D230)))),"")</f>
        <v/>
      </c>
      <c r="H230" s="41" t="str">
        <f aca="false">IF(AND(A230&lt;&gt;"",D230&gt;0.005),IF(A230&lt;=Grace,0,MIN(Extra,D230-G230)),"")</f>
        <v/>
      </c>
      <c r="I230" s="41" t="str">
        <f aca="false">IF(AND(A230&lt;&gt;"",D230&gt;0.005),MIN(SUMIF(LumpN,A230,LumpAmt),D230-G230-H230),"")</f>
        <v/>
      </c>
      <c r="J230" s="42" t="str">
        <f aca="false">IF(AND(A230&lt;&gt;"",D230&gt;0.005),E230+H230+I230,"")</f>
        <v/>
      </c>
      <c r="K230" s="42" t="str">
        <f aca="false">IF(AND(A230&lt;&gt;"",D230&gt;0.005),ROUND(D230-G230-H230-I230,2),"")</f>
        <v/>
      </c>
      <c r="L230" s="41" t="str">
        <f aca="false">IF(AND(A230&lt;&gt;"",D230&gt;0.005),L229+F230,"")</f>
        <v/>
      </c>
      <c r="M230" s="41" t="str">
        <f aca="false">IF(AND(A230&lt;&gt;"",D230&gt;0.005),M229+G230+H230+I230,"")</f>
        <v/>
      </c>
      <c r="N230" s="43" t="str">
        <f aca="false">IF(B230="","",YEAR(B230))</f>
        <v/>
      </c>
      <c r="O230" s="44" t="n">
        <f aca="false">IF(AND(A230&lt;&gt;"",D230&gt;0.005),J230,0)</f>
        <v>0</v>
      </c>
      <c r="P230" s="44" t="n">
        <f aca="false">R229</f>
        <v>0</v>
      </c>
      <c r="Q230" s="44" t="n">
        <f aca="false">IF(AND(P230&gt;0.005,223&lt;=NPer),ROUND(P230*RP,2),0)</f>
        <v>0</v>
      </c>
      <c r="R230" s="44" t="n">
        <f aca="false">IF(AND(P230&gt;0.005,223&lt;=NPer),ROUND(P230-IF(223&lt;=Grace,0,IF(223=NPer,P230,IF(Method="Equal principal (reducing payments)",MIN(ROUND(EqPrin,2),P230),MIN(ROUND(Annuity-Q230,2),P230)))),2),0)</f>
        <v>0</v>
      </c>
    </row>
    <row r="231" customFormat="false" ht="15" hidden="false" customHeight="false" outlineLevel="0" collapsed="false">
      <c r="A231" s="38" t="str">
        <f aca="false">IF(AND(N(K230)&gt;0.005,A230&lt;NPer),A230+1,"")</f>
        <v/>
      </c>
      <c r="B231" s="39" t="str">
        <f aca="false">IF(A231="","",EDATE(Disb,A231*MPP))</f>
        <v/>
      </c>
      <c r="C231" s="40" t="str">
        <f aca="false">IF(A231="","",IF(A231&lt;=Grace,"Grace","Repayment"))</f>
        <v/>
      </c>
      <c r="D231" s="41" t="str">
        <f aca="false">IF(A231="","",K230)</f>
        <v/>
      </c>
      <c r="E231" s="41" t="str">
        <f aca="false">IF(AND(A231&lt;&gt;"",D231&gt;0.005),F231+G231,"")</f>
        <v/>
      </c>
      <c r="F231" s="41" t="str">
        <f aca="false">IF(AND(A231&lt;&gt;"",D231&gt;0.005),ROUND(D231*RP,2),"")</f>
        <v/>
      </c>
      <c r="G231" s="41" t="str">
        <f aca="false">IF(AND(A231&lt;&gt;"",D231&gt;0.005),IF(A231&lt;=Grace,0,IF(A231=NPer,D231,IF(Method="Equal principal (reducing payments)",MIN(ROUND(EqPrin,2),D231),MIN(ROUND(Annuity-F231,2),D231)))),"")</f>
        <v/>
      </c>
      <c r="H231" s="41" t="str">
        <f aca="false">IF(AND(A231&lt;&gt;"",D231&gt;0.005),IF(A231&lt;=Grace,0,MIN(Extra,D231-G231)),"")</f>
        <v/>
      </c>
      <c r="I231" s="41" t="str">
        <f aca="false">IF(AND(A231&lt;&gt;"",D231&gt;0.005),MIN(SUMIF(LumpN,A231,LumpAmt),D231-G231-H231),"")</f>
        <v/>
      </c>
      <c r="J231" s="42" t="str">
        <f aca="false">IF(AND(A231&lt;&gt;"",D231&gt;0.005),E231+H231+I231,"")</f>
        <v/>
      </c>
      <c r="K231" s="42" t="str">
        <f aca="false">IF(AND(A231&lt;&gt;"",D231&gt;0.005),ROUND(D231-G231-H231-I231,2),"")</f>
        <v/>
      </c>
      <c r="L231" s="41" t="str">
        <f aca="false">IF(AND(A231&lt;&gt;"",D231&gt;0.005),L230+F231,"")</f>
        <v/>
      </c>
      <c r="M231" s="41" t="str">
        <f aca="false">IF(AND(A231&lt;&gt;"",D231&gt;0.005),M230+G231+H231+I231,"")</f>
        <v/>
      </c>
      <c r="N231" s="43" t="str">
        <f aca="false">IF(B231="","",YEAR(B231))</f>
        <v/>
      </c>
      <c r="O231" s="44" t="n">
        <f aca="false">IF(AND(A231&lt;&gt;"",D231&gt;0.005),J231,0)</f>
        <v>0</v>
      </c>
      <c r="P231" s="44" t="n">
        <f aca="false">R230</f>
        <v>0</v>
      </c>
      <c r="Q231" s="44" t="n">
        <f aca="false">IF(AND(P231&gt;0.005,224&lt;=NPer),ROUND(P231*RP,2),0)</f>
        <v>0</v>
      </c>
      <c r="R231" s="44" t="n">
        <f aca="false">IF(AND(P231&gt;0.005,224&lt;=NPer),ROUND(P231-IF(224&lt;=Grace,0,IF(224=NPer,P231,IF(Method="Equal principal (reducing payments)",MIN(ROUND(EqPrin,2),P231),MIN(ROUND(Annuity-Q231,2),P231)))),2),0)</f>
        <v>0</v>
      </c>
    </row>
    <row r="232" customFormat="false" ht="15" hidden="false" customHeight="false" outlineLevel="0" collapsed="false">
      <c r="A232" s="38" t="str">
        <f aca="false">IF(AND(N(K231)&gt;0.005,A231&lt;NPer),A231+1,"")</f>
        <v/>
      </c>
      <c r="B232" s="39" t="str">
        <f aca="false">IF(A232="","",EDATE(Disb,A232*MPP))</f>
        <v/>
      </c>
      <c r="C232" s="40" t="str">
        <f aca="false">IF(A232="","",IF(A232&lt;=Grace,"Grace","Repayment"))</f>
        <v/>
      </c>
      <c r="D232" s="41" t="str">
        <f aca="false">IF(A232="","",K231)</f>
        <v/>
      </c>
      <c r="E232" s="41" t="str">
        <f aca="false">IF(AND(A232&lt;&gt;"",D232&gt;0.005),F232+G232,"")</f>
        <v/>
      </c>
      <c r="F232" s="41" t="str">
        <f aca="false">IF(AND(A232&lt;&gt;"",D232&gt;0.005),ROUND(D232*RP,2),"")</f>
        <v/>
      </c>
      <c r="G232" s="41" t="str">
        <f aca="false">IF(AND(A232&lt;&gt;"",D232&gt;0.005),IF(A232&lt;=Grace,0,IF(A232=NPer,D232,IF(Method="Equal principal (reducing payments)",MIN(ROUND(EqPrin,2),D232),MIN(ROUND(Annuity-F232,2),D232)))),"")</f>
        <v/>
      </c>
      <c r="H232" s="41" t="str">
        <f aca="false">IF(AND(A232&lt;&gt;"",D232&gt;0.005),IF(A232&lt;=Grace,0,MIN(Extra,D232-G232)),"")</f>
        <v/>
      </c>
      <c r="I232" s="41" t="str">
        <f aca="false">IF(AND(A232&lt;&gt;"",D232&gt;0.005),MIN(SUMIF(LumpN,A232,LumpAmt),D232-G232-H232),"")</f>
        <v/>
      </c>
      <c r="J232" s="42" t="str">
        <f aca="false">IF(AND(A232&lt;&gt;"",D232&gt;0.005),E232+H232+I232,"")</f>
        <v/>
      </c>
      <c r="K232" s="42" t="str">
        <f aca="false">IF(AND(A232&lt;&gt;"",D232&gt;0.005),ROUND(D232-G232-H232-I232,2),"")</f>
        <v/>
      </c>
      <c r="L232" s="41" t="str">
        <f aca="false">IF(AND(A232&lt;&gt;"",D232&gt;0.005),L231+F232,"")</f>
        <v/>
      </c>
      <c r="M232" s="41" t="str">
        <f aca="false">IF(AND(A232&lt;&gt;"",D232&gt;0.005),M231+G232+H232+I232,"")</f>
        <v/>
      </c>
      <c r="N232" s="43" t="str">
        <f aca="false">IF(B232="","",YEAR(B232))</f>
        <v/>
      </c>
      <c r="O232" s="44" t="n">
        <f aca="false">IF(AND(A232&lt;&gt;"",D232&gt;0.005),J232,0)</f>
        <v>0</v>
      </c>
      <c r="P232" s="44" t="n">
        <f aca="false">R231</f>
        <v>0</v>
      </c>
      <c r="Q232" s="44" t="n">
        <f aca="false">IF(AND(P232&gt;0.005,225&lt;=NPer),ROUND(P232*RP,2),0)</f>
        <v>0</v>
      </c>
      <c r="R232" s="44" t="n">
        <f aca="false">IF(AND(P232&gt;0.005,225&lt;=NPer),ROUND(P232-IF(225&lt;=Grace,0,IF(225=NPer,P232,IF(Method="Equal principal (reducing payments)",MIN(ROUND(EqPrin,2),P232),MIN(ROUND(Annuity-Q232,2),P232)))),2),0)</f>
        <v>0</v>
      </c>
    </row>
    <row r="233" customFormat="false" ht="15" hidden="false" customHeight="false" outlineLevel="0" collapsed="false">
      <c r="A233" s="38" t="str">
        <f aca="false">IF(AND(N(K232)&gt;0.005,A232&lt;NPer),A232+1,"")</f>
        <v/>
      </c>
      <c r="B233" s="39" t="str">
        <f aca="false">IF(A233="","",EDATE(Disb,A233*MPP))</f>
        <v/>
      </c>
      <c r="C233" s="40" t="str">
        <f aca="false">IF(A233="","",IF(A233&lt;=Grace,"Grace","Repayment"))</f>
        <v/>
      </c>
      <c r="D233" s="41" t="str">
        <f aca="false">IF(A233="","",K232)</f>
        <v/>
      </c>
      <c r="E233" s="41" t="str">
        <f aca="false">IF(AND(A233&lt;&gt;"",D233&gt;0.005),F233+G233,"")</f>
        <v/>
      </c>
      <c r="F233" s="41" t="str">
        <f aca="false">IF(AND(A233&lt;&gt;"",D233&gt;0.005),ROUND(D233*RP,2),"")</f>
        <v/>
      </c>
      <c r="G233" s="41" t="str">
        <f aca="false">IF(AND(A233&lt;&gt;"",D233&gt;0.005),IF(A233&lt;=Grace,0,IF(A233=NPer,D233,IF(Method="Equal principal (reducing payments)",MIN(ROUND(EqPrin,2),D233),MIN(ROUND(Annuity-F233,2),D233)))),"")</f>
        <v/>
      </c>
      <c r="H233" s="41" t="str">
        <f aca="false">IF(AND(A233&lt;&gt;"",D233&gt;0.005),IF(A233&lt;=Grace,0,MIN(Extra,D233-G233)),"")</f>
        <v/>
      </c>
      <c r="I233" s="41" t="str">
        <f aca="false">IF(AND(A233&lt;&gt;"",D233&gt;0.005),MIN(SUMIF(LumpN,A233,LumpAmt),D233-G233-H233),"")</f>
        <v/>
      </c>
      <c r="J233" s="42" t="str">
        <f aca="false">IF(AND(A233&lt;&gt;"",D233&gt;0.005),E233+H233+I233,"")</f>
        <v/>
      </c>
      <c r="K233" s="42" t="str">
        <f aca="false">IF(AND(A233&lt;&gt;"",D233&gt;0.005),ROUND(D233-G233-H233-I233,2),"")</f>
        <v/>
      </c>
      <c r="L233" s="41" t="str">
        <f aca="false">IF(AND(A233&lt;&gt;"",D233&gt;0.005),L232+F233,"")</f>
        <v/>
      </c>
      <c r="M233" s="41" t="str">
        <f aca="false">IF(AND(A233&lt;&gt;"",D233&gt;0.005),M232+G233+H233+I233,"")</f>
        <v/>
      </c>
      <c r="N233" s="43" t="str">
        <f aca="false">IF(B233="","",YEAR(B233))</f>
        <v/>
      </c>
      <c r="O233" s="44" t="n">
        <f aca="false">IF(AND(A233&lt;&gt;"",D233&gt;0.005),J233,0)</f>
        <v>0</v>
      </c>
      <c r="P233" s="44" t="n">
        <f aca="false">R232</f>
        <v>0</v>
      </c>
      <c r="Q233" s="44" t="n">
        <f aca="false">IF(AND(P233&gt;0.005,226&lt;=NPer),ROUND(P233*RP,2),0)</f>
        <v>0</v>
      </c>
      <c r="R233" s="44" t="n">
        <f aca="false">IF(AND(P233&gt;0.005,226&lt;=NPer),ROUND(P233-IF(226&lt;=Grace,0,IF(226=NPer,P233,IF(Method="Equal principal (reducing payments)",MIN(ROUND(EqPrin,2),P233),MIN(ROUND(Annuity-Q233,2),P233)))),2),0)</f>
        <v>0</v>
      </c>
    </row>
    <row r="234" customFormat="false" ht="15" hidden="false" customHeight="false" outlineLevel="0" collapsed="false">
      <c r="A234" s="38" t="str">
        <f aca="false">IF(AND(N(K233)&gt;0.005,A233&lt;NPer),A233+1,"")</f>
        <v/>
      </c>
      <c r="B234" s="39" t="str">
        <f aca="false">IF(A234="","",EDATE(Disb,A234*MPP))</f>
        <v/>
      </c>
      <c r="C234" s="40" t="str">
        <f aca="false">IF(A234="","",IF(A234&lt;=Grace,"Grace","Repayment"))</f>
        <v/>
      </c>
      <c r="D234" s="41" t="str">
        <f aca="false">IF(A234="","",K233)</f>
        <v/>
      </c>
      <c r="E234" s="41" t="str">
        <f aca="false">IF(AND(A234&lt;&gt;"",D234&gt;0.005),F234+G234,"")</f>
        <v/>
      </c>
      <c r="F234" s="41" t="str">
        <f aca="false">IF(AND(A234&lt;&gt;"",D234&gt;0.005),ROUND(D234*RP,2),"")</f>
        <v/>
      </c>
      <c r="G234" s="41" t="str">
        <f aca="false">IF(AND(A234&lt;&gt;"",D234&gt;0.005),IF(A234&lt;=Grace,0,IF(A234=NPer,D234,IF(Method="Equal principal (reducing payments)",MIN(ROUND(EqPrin,2),D234),MIN(ROUND(Annuity-F234,2),D234)))),"")</f>
        <v/>
      </c>
      <c r="H234" s="41" t="str">
        <f aca="false">IF(AND(A234&lt;&gt;"",D234&gt;0.005),IF(A234&lt;=Grace,0,MIN(Extra,D234-G234)),"")</f>
        <v/>
      </c>
      <c r="I234" s="41" t="str">
        <f aca="false">IF(AND(A234&lt;&gt;"",D234&gt;0.005),MIN(SUMIF(LumpN,A234,LumpAmt),D234-G234-H234),"")</f>
        <v/>
      </c>
      <c r="J234" s="42" t="str">
        <f aca="false">IF(AND(A234&lt;&gt;"",D234&gt;0.005),E234+H234+I234,"")</f>
        <v/>
      </c>
      <c r="K234" s="42" t="str">
        <f aca="false">IF(AND(A234&lt;&gt;"",D234&gt;0.005),ROUND(D234-G234-H234-I234,2),"")</f>
        <v/>
      </c>
      <c r="L234" s="41" t="str">
        <f aca="false">IF(AND(A234&lt;&gt;"",D234&gt;0.005),L233+F234,"")</f>
        <v/>
      </c>
      <c r="M234" s="41" t="str">
        <f aca="false">IF(AND(A234&lt;&gt;"",D234&gt;0.005),M233+G234+H234+I234,"")</f>
        <v/>
      </c>
      <c r="N234" s="43" t="str">
        <f aca="false">IF(B234="","",YEAR(B234))</f>
        <v/>
      </c>
      <c r="O234" s="44" t="n">
        <f aca="false">IF(AND(A234&lt;&gt;"",D234&gt;0.005),J234,0)</f>
        <v>0</v>
      </c>
      <c r="P234" s="44" t="n">
        <f aca="false">R233</f>
        <v>0</v>
      </c>
      <c r="Q234" s="44" t="n">
        <f aca="false">IF(AND(P234&gt;0.005,227&lt;=NPer),ROUND(P234*RP,2),0)</f>
        <v>0</v>
      </c>
      <c r="R234" s="44" t="n">
        <f aca="false">IF(AND(P234&gt;0.005,227&lt;=NPer),ROUND(P234-IF(227&lt;=Grace,0,IF(227=NPer,P234,IF(Method="Equal principal (reducing payments)",MIN(ROUND(EqPrin,2),P234),MIN(ROUND(Annuity-Q234,2),P234)))),2),0)</f>
        <v>0</v>
      </c>
    </row>
    <row r="235" customFormat="false" ht="15" hidden="false" customHeight="false" outlineLevel="0" collapsed="false">
      <c r="A235" s="38" t="str">
        <f aca="false">IF(AND(N(K234)&gt;0.005,A234&lt;NPer),A234+1,"")</f>
        <v/>
      </c>
      <c r="B235" s="39" t="str">
        <f aca="false">IF(A235="","",EDATE(Disb,A235*MPP))</f>
        <v/>
      </c>
      <c r="C235" s="40" t="str">
        <f aca="false">IF(A235="","",IF(A235&lt;=Grace,"Grace","Repayment"))</f>
        <v/>
      </c>
      <c r="D235" s="41" t="str">
        <f aca="false">IF(A235="","",K234)</f>
        <v/>
      </c>
      <c r="E235" s="41" t="str">
        <f aca="false">IF(AND(A235&lt;&gt;"",D235&gt;0.005),F235+G235,"")</f>
        <v/>
      </c>
      <c r="F235" s="41" t="str">
        <f aca="false">IF(AND(A235&lt;&gt;"",D235&gt;0.005),ROUND(D235*RP,2),"")</f>
        <v/>
      </c>
      <c r="G235" s="41" t="str">
        <f aca="false">IF(AND(A235&lt;&gt;"",D235&gt;0.005),IF(A235&lt;=Grace,0,IF(A235=NPer,D235,IF(Method="Equal principal (reducing payments)",MIN(ROUND(EqPrin,2),D235),MIN(ROUND(Annuity-F235,2),D235)))),"")</f>
        <v/>
      </c>
      <c r="H235" s="41" t="str">
        <f aca="false">IF(AND(A235&lt;&gt;"",D235&gt;0.005),IF(A235&lt;=Grace,0,MIN(Extra,D235-G235)),"")</f>
        <v/>
      </c>
      <c r="I235" s="41" t="str">
        <f aca="false">IF(AND(A235&lt;&gt;"",D235&gt;0.005),MIN(SUMIF(LumpN,A235,LumpAmt),D235-G235-H235),"")</f>
        <v/>
      </c>
      <c r="J235" s="42" t="str">
        <f aca="false">IF(AND(A235&lt;&gt;"",D235&gt;0.005),E235+H235+I235,"")</f>
        <v/>
      </c>
      <c r="K235" s="42" t="str">
        <f aca="false">IF(AND(A235&lt;&gt;"",D235&gt;0.005),ROUND(D235-G235-H235-I235,2),"")</f>
        <v/>
      </c>
      <c r="L235" s="41" t="str">
        <f aca="false">IF(AND(A235&lt;&gt;"",D235&gt;0.005),L234+F235,"")</f>
        <v/>
      </c>
      <c r="M235" s="41" t="str">
        <f aca="false">IF(AND(A235&lt;&gt;"",D235&gt;0.005),M234+G235+H235+I235,"")</f>
        <v/>
      </c>
      <c r="N235" s="43" t="str">
        <f aca="false">IF(B235="","",YEAR(B235))</f>
        <v/>
      </c>
      <c r="O235" s="44" t="n">
        <f aca="false">IF(AND(A235&lt;&gt;"",D235&gt;0.005),J235,0)</f>
        <v>0</v>
      </c>
      <c r="P235" s="44" t="n">
        <f aca="false">R234</f>
        <v>0</v>
      </c>
      <c r="Q235" s="44" t="n">
        <f aca="false">IF(AND(P235&gt;0.005,228&lt;=NPer),ROUND(P235*RP,2),0)</f>
        <v>0</v>
      </c>
      <c r="R235" s="44" t="n">
        <f aca="false">IF(AND(P235&gt;0.005,228&lt;=NPer),ROUND(P235-IF(228&lt;=Grace,0,IF(228=NPer,P235,IF(Method="Equal principal (reducing payments)",MIN(ROUND(EqPrin,2),P235),MIN(ROUND(Annuity-Q235,2),P235)))),2),0)</f>
        <v>0</v>
      </c>
    </row>
    <row r="236" customFormat="false" ht="15" hidden="false" customHeight="false" outlineLevel="0" collapsed="false">
      <c r="A236" s="38" t="str">
        <f aca="false">IF(AND(N(K235)&gt;0.005,A235&lt;NPer),A235+1,"")</f>
        <v/>
      </c>
      <c r="B236" s="39" t="str">
        <f aca="false">IF(A236="","",EDATE(Disb,A236*MPP))</f>
        <v/>
      </c>
      <c r="C236" s="40" t="str">
        <f aca="false">IF(A236="","",IF(A236&lt;=Grace,"Grace","Repayment"))</f>
        <v/>
      </c>
      <c r="D236" s="41" t="str">
        <f aca="false">IF(A236="","",K235)</f>
        <v/>
      </c>
      <c r="E236" s="41" t="str">
        <f aca="false">IF(AND(A236&lt;&gt;"",D236&gt;0.005),F236+G236,"")</f>
        <v/>
      </c>
      <c r="F236" s="41" t="str">
        <f aca="false">IF(AND(A236&lt;&gt;"",D236&gt;0.005),ROUND(D236*RP,2),"")</f>
        <v/>
      </c>
      <c r="G236" s="41" t="str">
        <f aca="false">IF(AND(A236&lt;&gt;"",D236&gt;0.005),IF(A236&lt;=Grace,0,IF(A236=NPer,D236,IF(Method="Equal principal (reducing payments)",MIN(ROUND(EqPrin,2),D236),MIN(ROUND(Annuity-F236,2),D236)))),"")</f>
        <v/>
      </c>
      <c r="H236" s="41" t="str">
        <f aca="false">IF(AND(A236&lt;&gt;"",D236&gt;0.005),IF(A236&lt;=Grace,0,MIN(Extra,D236-G236)),"")</f>
        <v/>
      </c>
      <c r="I236" s="41" t="str">
        <f aca="false">IF(AND(A236&lt;&gt;"",D236&gt;0.005),MIN(SUMIF(LumpN,A236,LumpAmt),D236-G236-H236),"")</f>
        <v/>
      </c>
      <c r="J236" s="42" t="str">
        <f aca="false">IF(AND(A236&lt;&gt;"",D236&gt;0.005),E236+H236+I236,"")</f>
        <v/>
      </c>
      <c r="K236" s="42" t="str">
        <f aca="false">IF(AND(A236&lt;&gt;"",D236&gt;0.005),ROUND(D236-G236-H236-I236,2),"")</f>
        <v/>
      </c>
      <c r="L236" s="41" t="str">
        <f aca="false">IF(AND(A236&lt;&gt;"",D236&gt;0.005),L235+F236,"")</f>
        <v/>
      </c>
      <c r="M236" s="41" t="str">
        <f aca="false">IF(AND(A236&lt;&gt;"",D236&gt;0.005),M235+G236+H236+I236,"")</f>
        <v/>
      </c>
      <c r="N236" s="43" t="str">
        <f aca="false">IF(B236="","",YEAR(B236))</f>
        <v/>
      </c>
      <c r="O236" s="44" t="n">
        <f aca="false">IF(AND(A236&lt;&gt;"",D236&gt;0.005),J236,0)</f>
        <v>0</v>
      </c>
      <c r="P236" s="44" t="n">
        <f aca="false">R235</f>
        <v>0</v>
      </c>
      <c r="Q236" s="44" t="n">
        <f aca="false">IF(AND(P236&gt;0.005,229&lt;=NPer),ROUND(P236*RP,2),0)</f>
        <v>0</v>
      </c>
      <c r="R236" s="44" t="n">
        <f aca="false">IF(AND(P236&gt;0.005,229&lt;=NPer),ROUND(P236-IF(229&lt;=Grace,0,IF(229=NPer,P236,IF(Method="Equal principal (reducing payments)",MIN(ROUND(EqPrin,2),P236),MIN(ROUND(Annuity-Q236,2),P236)))),2),0)</f>
        <v>0</v>
      </c>
    </row>
    <row r="237" customFormat="false" ht="15" hidden="false" customHeight="false" outlineLevel="0" collapsed="false">
      <c r="A237" s="38" t="str">
        <f aca="false">IF(AND(N(K236)&gt;0.005,A236&lt;NPer),A236+1,"")</f>
        <v/>
      </c>
      <c r="B237" s="39" t="str">
        <f aca="false">IF(A237="","",EDATE(Disb,A237*MPP))</f>
        <v/>
      </c>
      <c r="C237" s="40" t="str">
        <f aca="false">IF(A237="","",IF(A237&lt;=Grace,"Grace","Repayment"))</f>
        <v/>
      </c>
      <c r="D237" s="41" t="str">
        <f aca="false">IF(A237="","",K236)</f>
        <v/>
      </c>
      <c r="E237" s="41" t="str">
        <f aca="false">IF(AND(A237&lt;&gt;"",D237&gt;0.005),F237+G237,"")</f>
        <v/>
      </c>
      <c r="F237" s="41" t="str">
        <f aca="false">IF(AND(A237&lt;&gt;"",D237&gt;0.005),ROUND(D237*RP,2),"")</f>
        <v/>
      </c>
      <c r="G237" s="41" t="str">
        <f aca="false">IF(AND(A237&lt;&gt;"",D237&gt;0.005),IF(A237&lt;=Grace,0,IF(A237=NPer,D237,IF(Method="Equal principal (reducing payments)",MIN(ROUND(EqPrin,2),D237),MIN(ROUND(Annuity-F237,2),D237)))),"")</f>
        <v/>
      </c>
      <c r="H237" s="41" t="str">
        <f aca="false">IF(AND(A237&lt;&gt;"",D237&gt;0.005),IF(A237&lt;=Grace,0,MIN(Extra,D237-G237)),"")</f>
        <v/>
      </c>
      <c r="I237" s="41" t="str">
        <f aca="false">IF(AND(A237&lt;&gt;"",D237&gt;0.005),MIN(SUMIF(LumpN,A237,LumpAmt),D237-G237-H237),"")</f>
        <v/>
      </c>
      <c r="J237" s="42" t="str">
        <f aca="false">IF(AND(A237&lt;&gt;"",D237&gt;0.005),E237+H237+I237,"")</f>
        <v/>
      </c>
      <c r="K237" s="42" t="str">
        <f aca="false">IF(AND(A237&lt;&gt;"",D237&gt;0.005),ROUND(D237-G237-H237-I237,2),"")</f>
        <v/>
      </c>
      <c r="L237" s="41" t="str">
        <f aca="false">IF(AND(A237&lt;&gt;"",D237&gt;0.005),L236+F237,"")</f>
        <v/>
      </c>
      <c r="M237" s="41" t="str">
        <f aca="false">IF(AND(A237&lt;&gt;"",D237&gt;0.005),M236+G237+H237+I237,"")</f>
        <v/>
      </c>
      <c r="N237" s="43" t="str">
        <f aca="false">IF(B237="","",YEAR(B237))</f>
        <v/>
      </c>
      <c r="O237" s="44" t="n">
        <f aca="false">IF(AND(A237&lt;&gt;"",D237&gt;0.005),J237,0)</f>
        <v>0</v>
      </c>
      <c r="P237" s="44" t="n">
        <f aca="false">R236</f>
        <v>0</v>
      </c>
      <c r="Q237" s="44" t="n">
        <f aca="false">IF(AND(P237&gt;0.005,230&lt;=NPer),ROUND(P237*RP,2),0)</f>
        <v>0</v>
      </c>
      <c r="R237" s="44" t="n">
        <f aca="false">IF(AND(P237&gt;0.005,230&lt;=NPer),ROUND(P237-IF(230&lt;=Grace,0,IF(230=NPer,P237,IF(Method="Equal principal (reducing payments)",MIN(ROUND(EqPrin,2),P237),MIN(ROUND(Annuity-Q237,2),P237)))),2),0)</f>
        <v>0</v>
      </c>
    </row>
    <row r="238" customFormat="false" ht="15" hidden="false" customHeight="false" outlineLevel="0" collapsed="false">
      <c r="A238" s="38" t="str">
        <f aca="false">IF(AND(N(K237)&gt;0.005,A237&lt;NPer),A237+1,"")</f>
        <v/>
      </c>
      <c r="B238" s="39" t="str">
        <f aca="false">IF(A238="","",EDATE(Disb,A238*MPP))</f>
        <v/>
      </c>
      <c r="C238" s="40" t="str">
        <f aca="false">IF(A238="","",IF(A238&lt;=Grace,"Grace","Repayment"))</f>
        <v/>
      </c>
      <c r="D238" s="41" t="str">
        <f aca="false">IF(A238="","",K237)</f>
        <v/>
      </c>
      <c r="E238" s="41" t="str">
        <f aca="false">IF(AND(A238&lt;&gt;"",D238&gt;0.005),F238+G238,"")</f>
        <v/>
      </c>
      <c r="F238" s="41" t="str">
        <f aca="false">IF(AND(A238&lt;&gt;"",D238&gt;0.005),ROUND(D238*RP,2),"")</f>
        <v/>
      </c>
      <c r="G238" s="41" t="str">
        <f aca="false">IF(AND(A238&lt;&gt;"",D238&gt;0.005),IF(A238&lt;=Grace,0,IF(A238=NPer,D238,IF(Method="Equal principal (reducing payments)",MIN(ROUND(EqPrin,2),D238),MIN(ROUND(Annuity-F238,2),D238)))),"")</f>
        <v/>
      </c>
      <c r="H238" s="41" t="str">
        <f aca="false">IF(AND(A238&lt;&gt;"",D238&gt;0.005),IF(A238&lt;=Grace,0,MIN(Extra,D238-G238)),"")</f>
        <v/>
      </c>
      <c r="I238" s="41" t="str">
        <f aca="false">IF(AND(A238&lt;&gt;"",D238&gt;0.005),MIN(SUMIF(LumpN,A238,LumpAmt),D238-G238-H238),"")</f>
        <v/>
      </c>
      <c r="J238" s="42" t="str">
        <f aca="false">IF(AND(A238&lt;&gt;"",D238&gt;0.005),E238+H238+I238,"")</f>
        <v/>
      </c>
      <c r="K238" s="42" t="str">
        <f aca="false">IF(AND(A238&lt;&gt;"",D238&gt;0.005),ROUND(D238-G238-H238-I238,2),"")</f>
        <v/>
      </c>
      <c r="L238" s="41" t="str">
        <f aca="false">IF(AND(A238&lt;&gt;"",D238&gt;0.005),L237+F238,"")</f>
        <v/>
      </c>
      <c r="M238" s="41" t="str">
        <f aca="false">IF(AND(A238&lt;&gt;"",D238&gt;0.005),M237+G238+H238+I238,"")</f>
        <v/>
      </c>
      <c r="N238" s="43" t="str">
        <f aca="false">IF(B238="","",YEAR(B238))</f>
        <v/>
      </c>
      <c r="O238" s="44" t="n">
        <f aca="false">IF(AND(A238&lt;&gt;"",D238&gt;0.005),J238,0)</f>
        <v>0</v>
      </c>
      <c r="P238" s="44" t="n">
        <f aca="false">R237</f>
        <v>0</v>
      </c>
      <c r="Q238" s="44" t="n">
        <f aca="false">IF(AND(P238&gt;0.005,231&lt;=NPer),ROUND(P238*RP,2),0)</f>
        <v>0</v>
      </c>
      <c r="R238" s="44" t="n">
        <f aca="false">IF(AND(P238&gt;0.005,231&lt;=NPer),ROUND(P238-IF(231&lt;=Grace,0,IF(231=NPer,P238,IF(Method="Equal principal (reducing payments)",MIN(ROUND(EqPrin,2),P238),MIN(ROUND(Annuity-Q238,2),P238)))),2),0)</f>
        <v>0</v>
      </c>
    </row>
    <row r="239" customFormat="false" ht="15" hidden="false" customHeight="false" outlineLevel="0" collapsed="false">
      <c r="A239" s="38" t="str">
        <f aca="false">IF(AND(N(K238)&gt;0.005,A238&lt;NPer),A238+1,"")</f>
        <v/>
      </c>
      <c r="B239" s="39" t="str">
        <f aca="false">IF(A239="","",EDATE(Disb,A239*MPP))</f>
        <v/>
      </c>
      <c r="C239" s="40" t="str">
        <f aca="false">IF(A239="","",IF(A239&lt;=Grace,"Grace","Repayment"))</f>
        <v/>
      </c>
      <c r="D239" s="41" t="str">
        <f aca="false">IF(A239="","",K238)</f>
        <v/>
      </c>
      <c r="E239" s="41" t="str">
        <f aca="false">IF(AND(A239&lt;&gt;"",D239&gt;0.005),F239+G239,"")</f>
        <v/>
      </c>
      <c r="F239" s="41" t="str">
        <f aca="false">IF(AND(A239&lt;&gt;"",D239&gt;0.005),ROUND(D239*RP,2),"")</f>
        <v/>
      </c>
      <c r="G239" s="41" t="str">
        <f aca="false">IF(AND(A239&lt;&gt;"",D239&gt;0.005),IF(A239&lt;=Grace,0,IF(A239=NPer,D239,IF(Method="Equal principal (reducing payments)",MIN(ROUND(EqPrin,2),D239),MIN(ROUND(Annuity-F239,2),D239)))),"")</f>
        <v/>
      </c>
      <c r="H239" s="41" t="str">
        <f aca="false">IF(AND(A239&lt;&gt;"",D239&gt;0.005),IF(A239&lt;=Grace,0,MIN(Extra,D239-G239)),"")</f>
        <v/>
      </c>
      <c r="I239" s="41" t="str">
        <f aca="false">IF(AND(A239&lt;&gt;"",D239&gt;0.005),MIN(SUMIF(LumpN,A239,LumpAmt),D239-G239-H239),"")</f>
        <v/>
      </c>
      <c r="J239" s="42" t="str">
        <f aca="false">IF(AND(A239&lt;&gt;"",D239&gt;0.005),E239+H239+I239,"")</f>
        <v/>
      </c>
      <c r="K239" s="42" t="str">
        <f aca="false">IF(AND(A239&lt;&gt;"",D239&gt;0.005),ROUND(D239-G239-H239-I239,2),"")</f>
        <v/>
      </c>
      <c r="L239" s="41" t="str">
        <f aca="false">IF(AND(A239&lt;&gt;"",D239&gt;0.005),L238+F239,"")</f>
        <v/>
      </c>
      <c r="M239" s="41" t="str">
        <f aca="false">IF(AND(A239&lt;&gt;"",D239&gt;0.005),M238+G239+H239+I239,"")</f>
        <v/>
      </c>
      <c r="N239" s="43" t="str">
        <f aca="false">IF(B239="","",YEAR(B239))</f>
        <v/>
      </c>
      <c r="O239" s="44" t="n">
        <f aca="false">IF(AND(A239&lt;&gt;"",D239&gt;0.005),J239,0)</f>
        <v>0</v>
      </c>
      <c r="P239" s="44" t="n">
        <f aca="false">R238</f>
        <v>0</v>
      </c>
      <c r="Q239" s="44" t="n">
        <f aca="false">IF(AND(P239&gt;0.005,232&lt;=NPer),ROUND(P239*RP,2),0)</f>
        <v>0</v>
      </c>
      <c r="R239" s="44" t="n">
        <f aca="false">IF(AND(P239&gt;0.005,232&lt;=NPer),ROUND(P239-IF(232&lt;=Grace,0,IF(232=NPer,P239,IF(Method="Equal principal (reducing payments)",MIN(ROUND(EqPrin,2),P239),MIN(ROUND(Annuity-Q239,2),P239)))),2),0)</f>
        <v>0</v>
      </c>
    </row>
    <row r="240" customFormat="false" ht="15" hidden="false" customHeight="false" outlineLevel="0" collapsed="false">
      <c r="A240" s="38" t="str">
        <f aca="false">IF(AND(N(K239)&gt;0.005,A239&lt;NPer),A239+1,"")</f>
        <v/>
      </c>
      <c r="B240" s="39" t="str">
        <f aca="false">IF(A240="","",EDATE(Disb,A240*MPP))</f>
        <v/>
      </c>
      <c r="C240" s="40" t="str">
        <f aca="false">IF(A240="","",IF(A240&lt;=Grace,"Grace","Repayment"))</f>
        <v/>
      </c>
      <c r="D240" s="41" t="str">
        <f aca="false">IF(A240="","",K239)</f>
        <v/>
      </c>
      <c r="E240" s="41" t="str">
        <f aca="false">IF(AND(A240&lt;&gt;"",D240&gt;0.005),F240+G240,"")</f>
        <v/>
      </c>
      <c r="F240" s="41" t="str">
        <f aca="false">IF(AND(A240&lt;&gt;"",D240&gt;0.005),ROUND(D240*RP,2),"")</f>
        <v/>
      </c>
      <c r="G240" s="41" t="str">
        <f aca="false">IF(AND(A240&lt;&gt;"",D240&gt;0.005),IF(A240&lt;=Grace,0,IF(A240=NPer,D240,IF(Method="Equal principal (reducing payments)",MIN(ROUND(EqPrin,2),D240),MIN(ROUND(Annuity-F240,2),D240)))),"")</f>
        <v/>
      </c>
      <c r="H240" s="41" t="str">
        <f aca="false">IF(AND(A240&lt;&gt;"",D240&gt;0.005),IF(A240&lt;=Grace,0,MIN(Extra,D240-G240)),"")</f>
        <v/>
      </c>
      <c r="I240" s="41" t="str">
        <f aca="false">IF(AND(A240&lt;&gt;"",D240&gt;0.005),MIN(SUMIF(LumpN,A240,LumpAmt),D240-G240-H240),"")</f>
        <v/>
      </c>
      <c r="J240" s="42" t="str">
        <f aca="false">IF(AND(A240&lt;&gt;"",D240&gt;0.005),E240+H240+I240,"")</f>
        <v/>
      </c>
      <c r="K240" s="42" t="str">
        <f aca="false">IF(AND(A240&lt;&gt;"",D240&gt;0.005),ROUND(D240-G240-H240-I240,2),"")</f>
        <v/>
      </c>
      <c r="L240" s="41" t="str">
        <f aca="false">IF(AND(A240&lt;&gt;"",D240&gt;0.005),L239+F240,"")</f>
        <v/>
      </c>
      <c r="M240" s="41" t="str">
        <f aca="false">IF(AND(A240&lt;&gt;"",D240&gt;0.005),M239+G240+H240+I240,"")</f>
        <v/>
      </c>
      <c r="N240" s="43" t="str">
        <f aca="false">IF(B240="","",YEAR(B240))</f>
        <v/>
      </c>
      <c r="O240" s="44" t="n">
        <f aca="false">IF(AND(A240&lt;&gt;"",D240&gt;0.005),J240,0)</f>
        <v>0</v>
      </c>
      <c r="P240" s="44" t="n">
        <f aca="false">R239</f>
        <v>0</v>
      </c>
      <c r="Q240" s="44" t="n">
        <f aca="false">IF(AND(P240&gt;0.005,233&lt;=NPer),ROUND(P240*RP,2),0)</f>
        <v>0</v>
      </c>
      <c r="R240" s="44" t="n">
        <f aca="false">IF(AND(P240&gt;0.005,233&lt;=NPer),ROUND(P240-IF(233&lt;=Grace,0,IF(233=NPer,P240,IF(Method="Equal principal (reducing payments)",MIN(ROUND(EqPrin,2),P240),MIN(ROUND(Annuity-Q240,2),P240)))),2),0)</f>
        <v>0</v>
      </c>
    </row>
    <row r="241" customFormat="false" ht="15" hidden="false" customHeight="false" outlineLevel="0" collapsed="false">
      <c r="A241" s="38" t="str">
        <f aca="false">IF(AND(N(K240)&gt;0.005,A240&lt;NPer),A240+1,"")</f>
        <v/>
      </c>
      <c r="B241" s="39" t="str">
        <f aca="false">IF(A241="","",EDATE(Disb,A241*MPP))</f>
        <v/>
      </c>
      <c r="C241" s="40" t="str">
        <f aca="false">IF(A241="","",IF(A241&lt;=Grace,"Grace","Repayment"))</f>
        <v/>
      </c>
      <c r="D241" s="41" t="str">
        <f aca="false">IF(A241="","",K240)</f>
        <v/>
      </c>
      <c r="E241" s="41" t="str">
        <f aca="false">IF(AND(A241&lt;&gt;"",D241&gt;0.005),F241+G241,"")</f>
        <v/>
      </c>
      <c r="F241" s="41" t="str">
        <f aca="false">IF(AND(A241&lt;&gt;"",D241&gt;0.005),ROUND(D241*RP,2),"")</f>
        <v/>
      </c>
      <c r="G241" s="41" t="str">
        <f aca="false">IF(AND(A241&lt;&gt;"",D241&gt;0.005),IF(A241&lt;=Grace,0,IF(A241=NPer,D241,IF(Method="Equal principal (reducing payments)",MIN(ROUND(EqPrin,2),D241),MIN(ROUND(Annuity-F241,2),D241)))),"")</f>
        <v/>
      </c>
      <c r="H241" s="41" t="str">
        <f aca="false">IF(AND(A241&lt;&gt;"",D241&gt;0.005),IF(A241&lt;=Grace,0,MIN(Extra,D241-G241)),"")</f>
        <v/>
      </c>
      <c r="I241" s="41" t="str">
        <f aca="false">IF(AND(A241&lt;&gt;"",D241&gt;0.005),MIN(SUMIF(LumpN,A241,LumpAmt),D241-G241-H241),"")</f>
        <v/>
      </c>
      <c r="J241" s="42" t="str">
        <f aca="false">IF(AND(A241&lt;&gt;"",D241&gt;0.005),E241+H241+I241,"")</f>
        <v/>
      </c>
      <c r="K241" s="42" t="str">
        <f aca="false">IF(AND(A241&lt;&gt;"",D241&gt;0.005),ROUND(D241-G241-H241-I241,2),"")</f>
        <v/>
      </c>
      <c r="L241" s="41" t="str">
        <f aca="false">IF(AND(A241&lt;&gt;"",D241&gt;0.005),L240+F241,"")</f>
        <v/>
      </c>
      <c r="M241" s="41" t="str">
        <f aca="false">IF(AND(A241&lt;&gt;"",D241&gt;0.005),M240+G241+H241+I241,"")</f>
        <v/>
      </c>
      <c r="N241" s="43" t="str">
        <f aca="false">IF(B241="","",YEAR(B241))</f>
        <v/>
      </c>
      <c r="O241" s="44" t="n">
        <f aca="false">IF(AND(A241&lt;&gt;"",D241&gt;0.005),J241,0)</f>
        <v>0</v>
      </c>
      <c r="P241" s="44" t="n">
        <f aca="false">R240</f>
        <v>0</v>
      </c>
      <c r="Q241" s="44" t="n">
        <f aca="false">IF(AND(P241&gt;0.005,234&lt;=NPer),ROUND(P241*RP,2),0)</f>
        <v>0</v>
      </c>
      <c r="R241" s="44" t="n">
        <f aca="false">IF(AND(P241&gt;0.005,234&lt;=NPer),ROUND(P241-IF(234&lt;=Grace,0,IF(234=NPer,P241,IF(Method="Equal principal (reducing payments)",MIN(ROUND(EqPrin,2),P241),MIN(ROUND(Annuity-Q241,2),P241)))),2),0)</f>
        <v>0</v>
      </c>
    </row>
    <row r="242" customFormat="false" ht="15" hidden="false" customHeight="false" outlineLevel="0" collapsed="false">
      <c r="A242" s="38" t="str">
        <f aca="false">IF(AND(N(K241)&gt;0.005,A241&lt;NPer),A241+1,"")</f>
        <v/>
      </c>
      <c r="B242" s="39" t="str">
        <f aca="false">IF(A242="","",EDATE(Disb,A242*MPP))</f>
        <v/>
      </c>
      <c r="C242" s="40" t="str">
        <f aca="false">IF(A242="","",IF(A242&lt;=Grace,"Grace","Repayment"))</f>
        <v/>
      </c>
      <c r="D242" s="41" t="str">
        <f aca="false">IF(A242="","",K241)</f>
        <v/>
      </c>
      <c r="E242" s="41" t="str">
        <f aca="false">IF(AND(A242&lt;&gt;"",D242&gt;0.005),F242+G242,"")</f>
        <v/>
      </c>
      <c r="F242" s="41" t="str">
        <f aca="false">IF(AND(A242&lt;&gt;"",D242&gt;0.005),ROUND(D242*RP,2),"")</f>
        <v/>
      </c>
      <c r="G242" s="41" t="str">
        <f aca="false">IF(AND(A242&lt;&gt;"",D242&gt;0.005),IF(A242&lt;=Grace,0,IF(A242=NPer,D242,IF(Method="Equal principal (reducing payments)",MIN(ROUND(EqPrin,2),D242),MIN(ROUND(Annuity-F242,2),D242)))),"")</f>
        <v/>
      </c>
      <c r="H242" s="41" t="str">
        <f aca="false">IF(AND(A242&lt;&gt;"",D242&gt;0.005),IF(A242&lt;=Grace,0,MIN(Extra,D242-G242)),"")</f>
        <v/>
      </c>
      <c r="I242" s="41" t="str">
        <f aca="false">IF(AND(A242&lt;&gt;"",D242&gt;0.005),MIN(SUMIF(LumpN,A242,LumpAmt),D242-G242-H242),"")</f>
        <v/>
      </c>
      <c r="J242" s="42" t="str">
        <f aca="false">IF(AND(A242&lt;&gt;"",D242&gt;0.005),E242+H242+I242,"")</f>
        <v/>
      </c>
      <c r="K242" s="42" t="str">
        <f aca="false">IF(AND(A242&lt;&gt;"",D242&gt;0.005),ROUND(D242-G242-H242-I242,2),"")</f>
        <v/>
      </c>
      <c r="L242" s="41" t="str">
        <f aca="false">IF(AND(A242&lt;&gt;"",D242&gt;0.005),L241+F242,"")</f>
        <v/>
      </c>
      <c r="M242" s="41" t="str">
        <f aca="false">IF(AND(A242&lt;&gt;"",D242&gt;0.005),M241+G242+H242+I242,"")</f>
        <v/>
      </c>
      <c r="N242" s="43" t="str">
        <f aca="false">IF(B242="","",YEAR(B242))</f>
        <v/>
      </c>
      <c r="O242" s="44" t="n">
        <f aca="false">IF(AND(A242&lt;&gt;"",D242&gt;0.005),J242,0)</f>
        <v>0</v>
      </c>
      <c r="P242" s="44" t="n">
        <f aca="false">R241</f>
        <v>0</v>
      </c>
      <c r="Q242" s="44" t="n">
        <f aca="false">IF(AND(P242&gt;0.005,235&lt;=NPer),ROUND(P242*RP,2),0)</f>
        <v>0</v>
      </c>
      <c r="R242" s="44" t="n">
        <f aca="false">IF(AND(P242&gt;0.005,235&lt;=NPer),ROUND(P242-IF(235&lt;=Grace,0,IF(235=NPer,P242,IF(Method="Equal principal (reducing payments)",MIN(ROUND(EqPrin,2),P242),MIN(ROUND(Annuity-Q242,2),P242)))),2),0)</f>
        <v>0</v>
      </c>
    </row>
    <row r="243" customFormat="false" ht="15" hidden="false" customHeight="false" outlineLevel="0" collapsed="false">
      <c r="A243" s="38" t="str">
        <f aca="false">IF(AND(N(K242)&gt;0.005,A242&lt;NPer),A242+1,"")</f>
        <v/>
      </c>
      <c r="B243" s="39" t="str">
        <f aca="false">IF(A243="","",EDATE(Disb,A243*MPP))</f>
        <v/>
      </c>
      <c r="C243" s="40" t="str">
        <f aca="false">IF(A243="","",IF(A243&lt;=Grace,"Grace","Repayment"))</f>
        <v/>
      </c>
      <c r="D243" s="41" t="str">
        <f aca="false">IF(A243="","",K242)</f>
        <v/>
      </c>
      <c r="E243" s="41" t="str">
        <f aca="false">IF(AND(A243&lt;&gt;"",D243&gt;0.005),F243+G243,"")</f>
        <v/>
      </c>
      <c r="F243" s="41" t="str">
        <f aca="false">IF(AND(A243&lt;&gt;"",D243&gt;0.005),ROUND(D243*RP,2),"")</f>
        <v/>
      </c>
      <c r="G243" s="41" t="str">
        <f aca="false">IF(AND(A243&lt;&gt;"",D243&gt;0.005),IF(A243&lt;=Grace,0,IF(A243=NPer,D243,IF(Method="Equal principal (reducing payments)",MIN(ROUND(EqPrin,2),D243),MIN(ROUND(Annuity-F243,2),D243)))),"")</f>
        <v/>
      </c>
      <c r="H243" s="41" t="str">
        <f aca="false">IF(AND(A243&lt;&gt;"",D243&gt;0.005),IF(A243&lt;=Grace,0,MIN(Extra,D243-G243)),"")</f>
        <v/>
      </c>
      <c r="I243" s="41" t="str">
        <f aca="false">IF(AND(A243&lt;&gt;"",D243&gt;0.005),MIN(SUMIF(LumpN,A243,LumpAmt),D243-G243-H243),"")</f>
        <v/>
      </c>
      <c r="J243" s="42" t="str">
        <f aca="false">IF(AND(A243&lt;&gt;"",D243&gt;0.005),E243+H243+I243,"")</f>
        <v/>
      </c>
      <c r="K243" s="42" t="str">
        <f aca="false">IF(AND(A243&lt;&gt;"",D243&gt;0.005),ROUND(D243-G243-H243-I243,2),"")</f>
        <v/>
      </c>
      <c r="L243" s="41" t="str">
        <f aca="false">IF(AND(A243&lt;&gt;"",D243&gt;0.005),L242+F243,"")</f>
        <v/>
      </c>
      <c r="M243" s="41" t="str">
        <f aca="false">IF(AND(A243&lt;&gt;"",D243&gt;0.005),M242+G243+H243+I243,"")</f>
        <v/>
      </c>
      <c r="N243" s="43" t="str">
        <f aca="false">IF(B243="","",YEAR(B243))</f>
        <v/>
      </c>
      <c r="O243" s="44" t="n">
        <f aca="false">IF(AND(A243&lt;&gt;"",D243&gt;0.005),J243,0)</f>
        <v>0</v>
      </c>
      <c r="P243" s="44" t="n">
        <f aca="false">R242</f>
        <v>0</v>
      </c>
      <c r="Q243" s="44" t="n">
        <f aca="false">IF(AND(P243&gt;0.005,236&lt;=NPer),ROUND(P243*RP,2),0)</f>
        <v>0</v>
      </c>
      <c r="R243" s="44" t="n">
        <f aca="false">IF(AND(P243&gt;0.005,236&lt;=NPer),ROUND(P243-IF(236&lt;=Grace,0,IF(236=NPer,P243,IF(Method="Equal principal (reducing payments)",MIN(ROUND(EqPrin,2),P243),MIN(ROUND(Annuity-Q243,2),P243)))),2),0)</f>
        <v>0</v>
      </c>
    </row>
    <row r="244" customFormat="false" ht="15" hidden="false" customHeight="false" outlineLevel="0" collapsed="false">
      <c r="A244" s="38" t="str">
        <f aca="false">IF(AND(N(K243)&gt;0.005,A243&lt;NPer),A243+1,"")</f>
        <v/>
      </c>
      <c r="B244" s="39" t="str">
        <f aca="false">IF(A244="","",EDATE(Disb,A244*MPP))</f>
        <v/>
      </c>
      <c r="C244" s="40" t="str">
        <f aca="false">IF(A244="","",IF(A244&lt;=Grace,"Grace","Repayment"))</f>
        <v/>
      </c>
      <c r="D244" s="41" t="str">
        <f aca="false">IF(A244="","",K243)</f>
        <v/>
      </c>
      <c r="E244" s="41" t="str">
        <f aca="false">IF(AND(A244&lt;&gt;"",D244&gt;0.005),F244+G244,"")</f>
        <v/>
      </c>
      <c r="F244" s="41" t="str">
        <f aca="false">IF(AND(A244&lt;&gt;"",D244&gt;0.005),ROUND(D244*RP,2),"")</f>
        <v/>
      </c>
      <c r="G244" s="41" t="str">
        <f aca="false">IF(AND(A244&lt;&gt;"",D244&gt;0.005),IF(A244&lt;=Grace,0,IF(A244=NPer,D244,IF(Method="Equal principal (reducing payments)",MIN(ROUND(EqPrin,2),D244),MIN(ROUND(Annuity-F244,2),D244)))),"")</f>
        <v/>
      </c>
      <c r="H244" s="41" t="str">
        <f aca="false">IF(AND(A244&lt;&gt;"",D244&gt;0.005),IF(A244&lt;=Grace,0,MIN(Extra,D244-G244)),"")</f>
        <v/>
      </c>
      <c r="I244" s="41" t="str">
        <f aca="false">IF(AND(A244&lt;&gt;"",D244&gt;0.005),MIN(SUMIF(LumpN,A244,LumpAmt),D244-G244-H244),"")</f>
        <v/>
      </c>
      <c r="J244" s="42" t="str">
        <f aca="false">IF(AND(A244&lt;&gt;"",D244&gt;0.005),E244+H244+I244,"")</f>
        <v/>
      </c>
      <c r="K244" s="42" t="str">
        <f aca="false">IF(AND(A244&lt;&gt;"",D244&gt;0.005),ROUND(D244-G244-H244-I244,2),"")</f>
        <v/>
      </c>
      <c r="L244" s="41" t="str">
        <f aca="false">IF(AND(A244&lt;&gt;"",D244&gt;0.005),L243+F244,"")</f>
        <v/>
      </c>
      <c r="M244" s="41" t="str">
        <f aca="false">IF(AND(A244&lt;&gt;"",D244&gt;0.005),M243+G244+H244+I244,"")</f>
        <v/>
      </c>
      <c r="N244" s="43" t="str">
        <f aca="false">IF(B244="","",YEAR(B244))</f>
        <v/>
      </c>
      <c r="O244" s="44" t="n">
        <f aca="false">IF(AND(A244&lt;&gt;"",D244&gt;0.005),J244,0)</f>
        <v>0</v>
      </c>
      <c r="P244" s="44" t="n">
        <f aca="false">R243</f>
        <v>0</v>
      </c>
      <c r="Q244" s="44" t="n">
        <f aca="false">IF(AND(P244&gt;0.005,237&lt;=NPer),ROUND(P244*RP,2),0)</f>
        <v>0</v>
      </c>
      <c r="R244" s="44" t="n">
        <f aca="false">IF(AND(P244&gt;0.005,237&lt;=NPer),ROUND(P244-IF(237&lt;=Grace,0,IF(237=NPer,P244,IF(Method="Equal principal (reducing payments)",MIN(ROUND(EqPrin,2),P244),MIN(ROUND(Annuity-Q244,2),P244)))),2),0)</f>
        <v>0</v>
      </c>
    </row>
    <row r="245" customFormat="false" ht="15" hidden="false" customHeight="false" outlineLevel="0" collapsed="false">
      <c r="A245" s="38" t="str">
        <f aca="false">IF(AND(N(K244)&gt;0.005,A244&lt;NPer),A244+1,"")</f>
        <v/>
      </c>
      <c r="B245" s="39" t="str">
        <f aca="false">IF(A245="","",EDATE(Disb,A245*MPP))</f>
        <v/>
      </c>
      <c r="C245" s="40" t="str">
        <f aca="false">IF(A245="","",IF(A245&lt;=Grace,"Grace","Repayment"))</f>
        <v/>
      </c>
      <c r="D245" s="41" t="str">
        <f aca="false">IF(A245="","",K244)</f>
        <v/>
      </c>
      <c r="E245" s="41" t="str">
        <f aca="false">IF(AND(A245&lt;&gt;"",D245&gt;0.005),F245+G245,"")</f>
        <v/>
      </c>
      <c r="F245" s="41" t="str">
        <f aca="false">IF(AND(A245&lt;&gt;"",D245&gt;0.005),ROUND(D245*RP,2),"")</f>
        <v/>
      </c>
      <c r="G245" s="41" t="str">
        <f aca="false">IF(AND(A245&lt;&gt;"",D245&gt;0.005),IF(A245&lt;=Grace,0,IF(A245=NPer,D245,IF(Method="Equal principal (reducing payments)",MIN(ROUND(EqPrin,2),D245),MIN(ROUND(Annuity-F245,2),D245)))),"")</f>
        <v/>
      </c>
      <c r="H245" s="41" t="str">
        <f aca="false">IF(AND(A245&lt;&gt;"",D245&gt;0.005),IF(A245&lt;=Grace,0,MIN(Extra,D245-G245)),"")</f>
        <v/>
      </c>
      <c r="I245" s="41" t="str">
        <f aca="false">IF(AND(A245&lt;&gt;"",D245&gt;0.005),MIN(SUMIF(LumpN,A245,LumpAmt),D245-G245-H245),"")</f>
        <v/>
      </c>
      <c r="J245" s="42" t="str">
        <f aca="false">IF(AND(A245&lt;&gt;"",D245&gt;0.005),E245+H245+I245,"")</f>
        <v/>
      </c>
      <c r="K245" s="42" t="str">
        <f aca="false">IF(AND(A245&lt;&gt;"",D245&gt;0.005),ROUND(D245-G245-H245-I245,2),"")</f>
        <v/>
      </c>
      <c r="L245" s="41" t="str">
        <f aca="false">IF(AND(A245&lt;&gt;"",D245&gt;0.005),L244+F245,"")</f>
        <v/>
      </c>
      <c r="M245" s="41" t="str">
        <f aca="false">IF(AND(A245&lt;&gt;"",D245&gt;0.005),M244+G245+H245+I245,"")</f>
        <v/>
      </c>
      <c r="N245" s="43" t="str">
        <f aca="false">IF(B245="","",YEAR(B245))</f>
        <v/>
      </c>
      <c r="O245" s="44" t="n">
        <f aca="false">IF(AND(A245&lt;&gt;"",D245&gt;0.005),J245,0)</f>
        <v>0</v>
      </c>
      <c r="P245" s="44" t="n">
        <f aca="false">R244</f>
        <v>0</v>
      </c>
      <c r="Q245" s="44" t="n">
        <f aca="false">IF(AND(P245&gt;0.005,238&lt;=NPer),ROUND(P245*RP,2),0)</f>
        <v>0</v>
      </c>
      <c r="R245" s="44" t="n">
        <f aca="false">IF(AND(P245&gt;0.005,238&lt;=NPer),ROUND(P245-IF(238&lt;=Grace,0,IF(238=NPer,P245,IF(Method="Equal principal (reducing payments)",MIN(ROUND(EqPrin,2),P245),MIN(ROUND(Annuity-Q245,2),P245)))),2),0)</f>
        <v>0</v>
      </c>
    </row>
    <row r="246" customFormat="false" ht="15" hidden="false" customHeight="false" outlineLevel="0" collapsed="false">
      <c r="A246" s="38" t="str">
        <f aca="false">IF(AND(N(K245)&gt;0.005,A245&lt;NPer),A245+1,"")</f>
        <v/>
      </c>
      <c r="B246" s="39" t="str">
        <f aca="false">IF(A246="","",EDATE(Disb,A246*MPP))</f>
        <v/>
      </c>
      <c r="C246" s="40" t="str">
        <f aca="false">IF(A246="","",IF(A246&lt;=Grace,"Grace","Repayment"))</f>
        <v/>
      </c>
      <c r="D246" s="41" t="str">
        <f aca="false">IF(A246="","",K245)</f>
        <v/>
      </c>
      <c r="E246" s="41" t="str">
        <f aca="false">IF(AND(A246&lt;&gt;"",D246&gt;0.005),F246+G246,"")</f>
        <v/>
      </c>
      <c r="F246" s="41" t="str">
        <f aca="false">IF(AND(A246&lt;&gt;"",D246&gt;0.005),ROUND(D246*RP,2),"")</f>
        <v/>
      </c>
      <c r="G246" s="41" t="str">
        <f aca="false">IF(AND(A246&lt;&gt;"",D246&gt;0.005),IF(A246&lt;=Grace,0,IF(A246=NPer,D246,IF(Method="Equal principal (reducing payments)",MIN(ROUND(EqPrin,2),D246),MIN(ROUND(Annuity-F246,2),D246)))),"")</f>
        <v/>
      </c>
      <c r="H246" s="41" t="str">
        <f aca="false">IF(AND(A246&lt;&gt;"",D246&gt;0.005),IF(A246&lt;=Grace,0,MIN(Extra,D246-G246)),"")</f>
        <v/>
      </c>
      <c r="I246" s="41" t="str">
        <f aca="false">IF(AND(A246&lt;&gt;"",D246&gt;0.005),MIN(SUMIF(LumpN,A246,LumpAmt),D246-G246-H246),"")</f>
        <v/>
      </c>
      <c r="J246" s="42" t="str">
        <f aca="false">IF(AND(A246&lt;&gt;"",D246&gt;0.005),E246+H246+I246,"")</f>
        <v/>
      </c>
      <c r="K246" s="42" t="str">
        <f aca="false">IF(AND(A246&lt;&gt;"",D246&gt;0.005),ROUND(D246-G246-H246-I246,2),"")</f>
        <v/>
      </c>
      <c r="L246" s="41" t="str">
        <f aca="false">IF(AND(A246&lt;&gt;"",D246&gt;0.005),L245+F246,"")</f>
        <v/>
      </c>
      <c r="M246" s="41" t="str">
        <f aca="false">IF(AND(A246&lt;&gt;"",D246&gt;0.005),M245+G246+H246+I246,"")</f>
        <v/>
      </c>
      <c r="N246" s="43" t="str">
        <f aca="false">IF(B246="","",YEAR(B246))</f>
        <v/>
      </c>
      <c r="O246" s="44" t="n">
        <f aca="false">IF(AND(A246&lt;&gt;"",D246&gt;0.005),J246,0)</f>
        <v>0</v>
      </c>
      <c r="P246" s="44" t="n">
        <f aca="false">R245</f>
        <v>0</v>
      </c>
      <c r="Q246" s="44" t="n">
        <f aca="false">IF(AND(P246&gt;0.005,239&lt;=NPer),ROUND(P246*RP,2),0)</f>
        <v>0</v>
      </c>
      <c r="R246" s="44" t="n">
        <f aca="false">IF(AND(P246&gt;0.005,239&lt;=NPer),ROUND(P246-IF(239&lt;=Grace,0,IF(239=NPer,P246,IF(Method="Equal principal (reducing payments)",MIN(ROUND(EqPrin,2),P246),MIN(ROUND(Annuity-Q246,2),P246)))),2),0)</f>
        <v>0</v>
      </c>
    </row>
    <row r="247" customFormat="false" ht="15" hidden="false" customHeight="false" outlineLevel="0" collapsed="false">
      <c r="A247" s="38" t="str">
        <f aca="false">IF(AND(N(K246)&gt;0.005,A246&lt;NPer),A246+1,"")</f>
        <v/>
      </c>
      <c r="B247" s="39" t="str">
        <f aca="false">IF(A247="","",EDATE(Disb,A247*MPP))</f>
        <v/>
      </c>
      <c r="C247" s="40" t="str">
        <f aca="false">IF(A247="","",IF(A247&lt;=Grace,"Grace","Repayment"))</f>
        <v/>
      </c>
      <c r="D247" s="41" t="str">
        <f aca="false">IF(A247="","",K246)</f>
        <v/>
      </c>
      <c r="E247" s="41" t="str">
        <f aca="false">IF(AND(A247&lt;&gt;"",D247&gt;0.005),F247+G247,"")</f>
        <v/>
      </c>
      <c r="F247" s="41" t="str">
        <f aca="false">IF(AND(A247&lt;&gt;"",D247&gt;0.005),ROUND(D247*RP,2),"")</f>
        <v/>
      </c>
      <c r="G247" s="41" t="str">
        <f aca="false">IF(AND(A247&lt;&gt;"",D247&gt;0.005),IF(A247&lt;=Grace,0,IF(A247=NPer,D247,IF(Method="Equal principal (reducing payments)",MIN(ROUND(EqPrin,2),D247),MIN(ROUND(Annuity-F247,2),D247)))),"")</f>
        <v/>
      </c>
      <c r="H247" s="41" t="str">
        <f aca="false">IF(AND(A247&lt;&gt;"",D247&gt;0.005),IF(A247&lt;=Grace,0,MIN(Extra,D247-G247)),"")</f>
        <v/>
      </c>
      <c r="I247" s="41" t="str">
        <f aca="false">IF(AND(A247&lt;&gt;"",D247&gt;0.005),MIN(SUMIF(LumpN,A247,LumpAmt),D247-G247-H247),"")</f>
        <v/>
      </c>
      <c r="J247" s="42" t="str">
        <f aca="false">IF(AND(A247&lt;&gt;"",D247&gt;0.005),E247+H247+I247,"")</f>
        <v/>
      </c>
      <c r="K247" s="42" t="str">
        <f aca="false">IF(AND(A247&lt;&gt;"",D247&gt;0.005),ROUND(D247-G247-H247-I247,2),"")</f>
        <v/>
      </c>
      <c r="L247" s="41" t="str">
        <f aca="false">IF(AND(A247&lt;&gt;"",D247&gt;0.005),L246+F247,"")</f>
        <v/>
      </c>
      <c r="M247" s="41" t="str">
        <f aca="false">IF(AND(A247&lt;&gt;"",D247&gt;0.005),M246+G247+H247+I247,"")</f>
        <v/>
      </c>
      <c r="N247" s="43" t="str">
        <f aca="false">IF(B247="","",YEAR(B247))</f>
        <v/>
      </c>
      <c r="O247" s="44" t="n">
        <f aca="false">IF(AND(A247&lt;&gt;"",D247&gt;0.005),J247,0)</f>
        <v>0</v>
      </c>
      <c r="P247" s="44" t="n">
        <f aca="false">R246</f>
        <v>0</v>
      </c>
      <c r="Q247" s="44" t="n">
        <f aca="false">IF(AND(P247&gt;0.005,240&lt;=NPer),ROUND(P247*RP,2),0)</f>
        <v>0</v>
      </c>
      <c r="R247" s="44" t="n">
        <f aca="false">IF(AND(P247&gt;0.005,240&lt;=NPer),ROUND(P247-IF(240&lt;=Grace,0,IF(240=NPer,P247,IF(Method="Equal principal (reducing payments)",MIN(ROUND(EqPrin,2),P247),MIN(ROUND(Annuity-Q247,2),P247)))),2),0)</f>
        <v>0</v>
      </c>
    </row>
    <row r="248" customFormat="false" ht="15" hidden="false" customHeight="false" outlineLevel="0" collapsed="false">
      <c r="A248" s="38" t="str">
        <f aca="false">IF(AND(N(K247)&gt;0.005,A247&lt;NPer),A247+1,"")</f>
        <v/>
      </c>
      <c r="B248" s="39" t="str">
        <f aca="false">IF(A248="","",EDATE(Disb,A248*MPP))</f>
        <v/>
      </c>
      <c r="C248" s="40" t="str">
        <f aca="false">IF(A248="","",IF(A248&lt;=Grace,"Grace","Repayment"))</f>
        <v/>
      </c>
      <c r="D248" s="41" t="str">
        <f aca="false">IF(A248="","",K247)</f>
        <v/>
      </c>
      <c r="E248" s="41" t="str">
        <f aca="false">IF(AND(A248&lt;&gt;"",D248&gt;0.005),F248+G248,"")</f>
        <v/>
      </c>
      <c r="F248" s="41" t="str">
        <f aca="false">IF(AND(A248&lt;&gt;"",D248&gt;0.005),ROUND(D248*RP,2),"")</f>
        <v/>
      </c>
      <c r="G248" s="41" t="str">
        <f aca="false">IF(AND(A248&lt;&gt;"",D248&gt;0.005),IF(A248&lt;=Grace,0,IF(A248=NPer,D248,IF(Method="Equal principal (reducing payments)",MIN(ROUND(EqPrin,2),D248),MIN(ROUND(Annuity-F248,2),D248)))),"")</f>
        <v/>
      </c>
      <c r="H248" s="41" t="str">
        <f aca="false">IF(AND(A248&lt;&gt;"",D248&gt;0.005),IF(A248&lt;=Grace,0,MIN(Extra,D248-G248)),"")</f>
        <v/>
      </c>
      <c r="I248" s="41" t="str">
        <f aca="false">IF(AND(A248&lt;&gt;"",D248&gt;0.005),MIN(SUMIF(LumpN,A248,LumpAmt),D248-G248-H248),"")</f>
        <v/>
      </c>
      <c r="J248" s="42" t="str">
        <f aca="false">IF(AND(A248&lt;&gt;"",D248&gt;0.005),E248+H248+I248,"")</f>
        <v/>
      </c>
      <c r="K248" s="42" t="str">
        <f aca="false">IF(AND(A248&lt;&gt;"",D248&gt;0.005),ROUND(D248-G248-H248-I248,2),"")</f>
        <v/>
      </c>
      <c r="L248" s="41" t="str">
        <f aca="false">IF(AND(A248&lt;&gt;"",D248&gt;0.005),L247+F248,"")</f>
        <v/>
      </c>
      <c r="M248" s="41" t="str">
        <f aca="false">IF(AND(A248&lt;&gt;"",D248&gt;0.005),M247+G248+H248+I248,"")</f>
        <v/>
      </c>
      <c r="N248" s="43" t="str">
        <f aca="false">IF(B248="","",YEAR(B248))</f>
        <v/>
      </c>
      <c r="O248" s="44" t="n">
        <f aca="false">IF(AND(A248&lt;&gt;"",D248&gt;0.005),J248,0)</f>
        <v>0</v>
      </c>
      <c r="P248" s="44" t="n">
        <f aca="false">R247</f>
        <v>0</v>
      </c>
      <c r="Q248" s="44" t="n">
        <f aca="false">IF(AND(P248&gt;0.005,241&lt;=NPer),ROUND(P248*RP,2),0)</f>
        <v>0</v>
      </c>
      <c r="R248" s="44" t="n">
        <f aca="false">IF(AND(P248&gt;0.005,241&lt;=NPer),ROUND(P248-IF(241&lt;=Grace,0,IF(241=NPer,P248,IF(Method="Equal principal (reducing payments)",MIN(ROUND(EqPrin,2),P248),MIN(ROUND(Annuity-Q248,2),P248)))),2),0)</f>
        <v>0</v>
      </c>
    </row>
    <row r="249" customFormat="false" ht="15" hidden="false" customHeight="false" outlineLevel="0" collapsed="false">
      <c r="A249" s="38" t="str">
        <f aca="false">IF(AND(N(K248)&gt;0.005,A248&lt;NPer),A248+1,"")</f>
        <v/>
      </c>
      <c r="B249" s="39" t="str">
        <f aca="false">IF(A249="","",EDATE(Disb,A249*MPP))</f>
        <v/>
      </c>
      <c r="C249" s="40" t="str">
        <f aca="false">IF(A249="","",IF(A249&lt;=Grace,"Grace","Repayment"))</f>
        <v/>
      </c>
      <c r="D249" s="41" t="str">
        <f aca="false">IF(A249="","",K248)</f>
        <v/>
      </c>
      <c r="E249" s="41" t="str">
        <f aca="false">IF(AND(A249&lt;&gt;"",D249&gt;0.005),F249+G249,"")</f>
        <v/>
      </c>
      <c r="F249" s="41" t="str">
        <f aca="false">IF(AND(A249&lt;&gt;"",D249&gt;0.005),ROUND(D249*RP,2),"")</f>
        <v/>
      </c>
      <c r="G249" s="41" t="str">
        <f aca="false">IF(AND(A249&lt;&gt;"",D249&gt;0.005),IF(A249&lt;=Grace,0,IF(A249=NPer,D249,IF(Method="Equal principal (reducing payments)",MIN(ROUND(EqPrin,2),D249),MIN(ROUND(Annuity-F249,2),D249)))),"")</f>
        <v/>
      </c>
      <c r="H249" s="41" t="str">
        <f aca="false">IF(AND(A249&lt;&gt;"",D249&gt;0.005),IF(A249&lt;=Grace,0,MIN(Extra,D249-G249)),"")</f>
        <v/>
      </c>
      <c r="I249" s="41" t="str">
        <f aca="false">IF(AND(A249&lt;&gt;"",D249&gt;0.005),MIN(SUMIF(LumpN,A249,LumpAmt),D249-G249-H249),"")</f>
        <v/>
      </c>
      <c r="J249" s="42" t="str">
        <f aca="false">IF(AND(A249&lt;&gt;"",D249&gt;0.005),E249+H249+I249,"")</f>
        <v/>
      </c>
      <c r="K249" s="42" t="str">
        <f aca="false">IF(AND(A249&lt;&gt;"",D249&gt;0.005),ROUND(D249-G249-H249-I249,2),"")</f>
        <v/>
      </c>
      <c r="L249" s="41" t="str">
        <f aca="false">IF(AND(A249&lt;&gt;"",D249&gt;0.005),L248+F249,"")</f>
        <v/>
      </c>
      <c r="M249" s="41" t="str">
        <f aca="false">IF(AND(A249&lt;&gt;"",D249&gt;0.005),M248+G249+H249+I249,"")</f>
        <v/>
      </c>
      <c r="N249" s="43" t="str">
        <f aca="false">IF(B249="","",YEAR(B249))</f>
        <v/>
      </c>
      <c r="O249" s="44" t="n">
        <f aca="false">IF(AND(A249&lt;&gt;"",D249&gt;0.005),J249,0)</f>
        <v>0</v>
      </c>
      <c r="P249" s="44" t="n">
        <f aca="false">R248</f>
        <v>0</v>
      </c>
      <c r="Q249" s="44" t="n">
        <f aca="false">IF(AND(P249&gt;0.005,242&lt;=NPer),ROUND(P249*RP,2),0)</f>
        <v>0</v>
      </c>
      <c r="R249" s="44" t="n">
        <f aca="false">IF(AND(P249&gt;0.005,242&lt;=NPer),ROUND(P249-IF(242&lt;=Grace,0,IF(242=NPer,P249,IF(Method="Equal principal (reducing payments)",MIN(ROUND(EqPrin,2),P249),MIN(ROUND(Annuity-Q249,2),P249)))),2),0)</f>
        <v>0</v>
      </c>
    </row>
    <row r="250" customFormat="false" ht="15" hidden="false" customHeight="false" outlineLevel="0" collapsed="false">
      <c r="A250" s="38" t="str">
        <f aca="false">IF(AND(N(K249)&gt;0.005,A249&lt;NPer),A249+1,"")</f>
        <v/>
      </c>
      <c r="B250" s="39" t="str">
        <f aca="false">IF(A250="","",EDATE(Disb,A250*MPP))</f>
        <v/>
      </c>
      <c r="C250" s="40" t="str">
        <f aca="false">IF(A250="","",IF(A250&lt;=Grace,"Grace","Repayment"))</f>
        <v/>
      </c>
      <c r="D250" s="41" t="str">
        <f aca="false">IF(A250="","",K249)</f>
        <v/>
      </c>
      <c r="E250" s="41" t="str">
        <f aca="false">IF(AND(A250&lt;&gt;"",D250&gt;0.005),F250+G250,"")</f>
        <v/>
      </c>
      <c r="F250" s="41" t="str">
        <f aca="false">IF(AND(A250&lt;&gt;"",D250&gt;0.005),ROUND(D250*RP,2),"")</f>
        <v/>
      </c>
      <c r="G250" s="41" t="str">
        <f aca="false">IF(AND(A250&lt;&gt;"",D250&gt;0.005),IF(A250&lt;=Grace,0,IF(A250=NPer,D250,IF(Method="Equal principal (reducing payments)",MIN(ROUND(EqPrin,2),D250),MIN(ROUND(Annuity-F250,2),D250)))),"")</f>
        <v/>
      </c>
      <c r="H250" s="41" t="str">
        <f aca="false">IF(AND(A250&lt;&gt;"",D250&gt;0.005),IF(A250&lt;=Grace,0,MIN(Extra,D250-G250)),"")</f>
        <v/>
      </c>
      <c r="I250" s="41" t="str">
        <f aca="false">IF(AND(A250&lt;&gt;"",D250&gt;0.005),MIN(SUMIF(LumpN,A250,LumpAmt),D250-G250-H250),"")</f>
        <v/>
      </c>
      <c r="J250" s="42" t="str">
        <f aca="false">IF(AND(A250&lt;&gt;"",D250&gt;0.005),E250+H250+I250,"")</f>
        <v/>
      </c>
      <c r="K250" s="42" t="str">
        <f aca="false">IF(AND(A250&lt;&gt;"",D250&gt;0.005),ROUND(D250-G250-H250-I250,2),"")</f>
        <v/>
      </c>
      <c r="L250" s="41" t="str">
        <f aca="false">IF(AND(A250&lt;&gt;"",D250&gt;0.005),L249+F250,"")</f>
        <v/>
      </c>
      <c r="M250" s="41" t="str">
        <f aca="false">IF(AND(A250&lt;&gt;"",D250&gt;0.005),M249+G250+H250+I250,"")</f>
        <v/>
      </c>
      <c r="N250" s="43" t="str">
        <f aca="false">IF(B250="","",YEAR(B250))</f>
        <v/>
      </c>
      <c r="O250" s="44" t="n">
        <f aca="false">IF(AND(A250&lt;&gt;"",D250&gt;0.005),J250,0)</f>
        <v>0</v>
      </c>
      <c r="P250" s="44" t="n">
        <f aca="false">R249</f>
        <v>0</v>
      </c>
      <c r="Q250" s="44" t="n">
        <f aca="false">IF(AND(P250&gt;0.005,243&lt;=NPer),ROUND(P250*RP,2),0)</f>
        <v>0</v>
      </c>
      <c r="R250" s="44" t="n">
        <f aca="false">IF(AND(P250&gt;0.005,243&lt;=NPer),ROUND(P250-IF(243&lt;=Grace,0,IF(243=NPer,P250,IF(Method="Equal principal (reducing payments)",MIN(ROUND(EqPrin,2),P250),MIN(ROUND(Annuity-Q250,2),P250)))),2),0)</f>
        <v>0</v>
      </c>
    </row>
    <row r="251" customFormat="false" ht="15" hidden="false" customHeight="false" outlineLevel="0" collapsed="false">
      <c r="A251" s="38" t="str">
        <f aca="false">IF(AND(N(K250)&gt;0.005,A250&lt;NPer),A250+1,"")</f>
        <v/>
      </c>
      <c r="B251" s="39" t="str">
        <f aca="false">IF(A251="","",EDATE(Disb,A251*MPP))</f>
        <v/>
      </c>
      <c r="C251" s="40" t="str">
        <f aca="false">IF(A251="","",IF(A251&lt;=Grace,"Grace","Repayment"))</f>
        <v/>
      </c>
      <c r="D251" s="41" t="str">
        <f aca="false">IF(A251="","",K250)</f>
        <v/>
      </c>
      <c r="E251" s="41" t="str">
        <f aca="false">IF(AND(A251&lt;&gt;"",D251&gt;0.005),F251+G251,"")</f>
        <v/>
      </c>
      <c r="F251" s="41" t="str">
        <f aca="false">IF(AND(A251&lt;&gt;"",D251&gt;0.005),ROUND(D251*RP,2),"")</f>
        <v/>
      </c>
      <c r="G251" s="41" t="str">
        <f aca="false">IF(AND(A251&lt;&gt;"",D251&gt;0.005),IF(A251&lt;=Grace,0,IF(A251=NPer,D251,IF(Method="Equal principal (reducing payments)",MIN(ROUND(EqPrin,2),D251),MIN(ROUND(Annuity-F251,2),D251)))),"")</f>
        <v/>
      </c>
      <c r="H251" s="41" t="str">
        <f aca="false">IF(AND(A251&lt;&gt;"",D251&gt;0.005),IF(A251&lt;=Grace,0,MIN(Extra,D251-G251)),"")</f>
        <v/>
      </c>
      <c r="I251" s="41" t="str">
        <f aca="false">IF(AND(A251&lt;&gt;"",D251&gt;0.005),MIN(SUMIF(LumpN,A251,LumpAmt),D251-G251-H251),"")</f>
        <v/>
      </c>
      <c r="J251" s="42" t="str">
        <f aca="false">IF(AND(A251&lt;&gt;"",D251&gt;0.005),E251+H251+I251,"")</f>
        <v/>
      </c>
      <c r="K251" s="42" t="str">
        <f aca="false">IF(AND(A251&lt;&gt;"",D251&gt;0.005),ROUND(D251-G251-H251-I251,2),"")</f>
        <v/>
      </c>
      <c r="L251" s="41" t="str">
        <f aca="false">IF(AND(A251&lt;&gt;"",D251&gt;0.005),L250+F251,"")</f>
        <v/>
      </c>
      <c r="M251" s="41" t="str">
        <f aca="false">IF(AND(A251&lt;&gt;"",D251&gt;0.005),M250+G251+H251+I251,"")</f>
        <v/>
      </c>
      <c r="N251" s="43" t="str">
        <f aca="false">IF(B251="","",YEAR(B251))</f>
        <v/>
      </c>
      <c r="O251" s="44" t="n">
        <f aca="false">IF(AND(A251&lt;&gt;"",D251&gt;0.005),J251,0)</f>
        <v>0</v>
      </c>
      <c r="P251" s="44" t="n">
        <f aca="false">R250</f>
        <v>0</v>
      </c>
      <c r="Q251" s="44" t="n">
        <f aca="false">IF(AND(P251&gt;0.005,244&lt;=NPer),ROUND(P251*RP,2),0)</f>
        <v>0</v>
      </c>
      <c r="R251" s="44" t="n">
        <f aca="false">IF(AND(P251&gt;0.005,244&lt;=NPer),ROUND(P251-IF(244&lt;=Grace,0,IF(244=NPer,P251,IF(Method="Equal principal (reducing payments)",MIN(ROUND(EqPrin,2),P251),MIN(ROUND(Annuity-Q251,2),P251)))),2),0)</f>
        <v>0</v>
      </c>
    </row>
    <row r="252" customFormat="false" ht="15" hidden="false" customHeight="false" outlineLevel="0" collapsed="false">
      <c r="A252" s="38" t="str">
        <f aca="false">IF(AND(N(K251)&gt;0.005,A251&lt;NPer),A251+1,"")</f>
        <v/>
      </c>
      <c r="B252" s="39" t="str">
        <f aca="false">IF(A252="","",EDATE(Disb,A252*MPP))</f>
        <v/>
      </c>
      <c r="C252" s="40" t="str">
        <f aca="false">IF(A252="","",IF(A252&lt;=Grace,"Grace","Repayment"))</f>
        <v/>
      </c>
      <c r="D252" s="41" t="str">
        <f aca="false">IF(A252="","",K251)</f>
        <v/>
      </c>
      <c r="E252" s="41" t="str">
        <f aca="false">IF(AND(A252&lt;&gt;"",D252&gt;0.005),F252+G252,"")</f>
        <v/>
      </c>
      <c r="F252" s="41" t="str">
        <f aca="false">IF(AND(A252&lt;&gt;"",D252&gt;0.005),ROUND(D252*RP,2),"")</f>
        <v/>
      </c>
      <c r="G252" s="41" t="str">
        <f aca="false">IF(AND(A252&lt;&gt;"",D252&gt;0.005),IF(A252&lt;=Grace,0,IF(A252=NPer,D252,IF(Method="Equal principal (reducing payments)",MIN(ROUND(EqPrin,2),D252),MIN(ROUND(Annuity-F252,2),D252)))),"")</f>
        <v/>
      </c>
      <c r="H252" s="41" t="str">
        <f aca="false">IF(AND(A252&lt;&gt;"",D252&gt;0.005),IF(A252&lt;=Grace,0,MIN(Extra,D252-G252)),"")</f>
        <v/>
      </c>
      <c r="I252" s="41" t="str">
        <f aca="false">IF(AND(A252&lt;&gt;"",D252&gt;0.005),MIN(SUMIF(LumpN,A252,LumpAmt),D252-G252-H252),"")</f>
        <v/>
      </c>
      <c r="J252" s="42" t="str">
        <f aca="false">IF(AND(A252&lt;&gt;"",D252&gt;0.005),E252+H252+I252,"")</f>
        <v/>
      </c>
      <c r="K252" s="42" t="str">
        <f aca="false">IF(AND(A252&lt;&gt;"",D252&gt;0.005),ROUND(D252-G252-H252-I252,2),"")</f>
        <v/>
      </c>
      <c r="L252" s="41" t="str">
        <f aca="false">IF(AND(A252&lt;&gt;"",D252&gt;0.005),L251+F252,"")</f>
        <v/>
      </c>
      <c r="M252" s="41" t="str">
        <f aca="false">IF(AND(A252&lt;&gt;"",D252&gt;0.005),M251+G252+H252+I252,"")</f>
        <v/>
      </c>
      <c r="N252" s="43" t="str">
        <f aca="false">IF(B252="","",YEAR(B252))</f>
        <v/>
      </c>
      <c r="O252" s="44" t="n">
        <f aca="false">IF(AND(A252&lt;&gt;"",D252&gt;0.005),J252,0)</f>
        <v>0</v>
      </c>
      <c r="P252" s="44" t="n">
        <f aca="false">R251</f>
        <v>0</v>
      </c>
      <c r="Q252" s="44" t="n">
        <f aca="false">IF(AND(P252&gt;0.005,245&lt;=NPer),ROUND(P252*RP,2),0)</f>
        <v>0</v>
      </c>
      <c r="R252" s="44" t="n">
        <f aca="false">IF(AND(P252&gt;0.005,245&lt;=NPer),ROUND(P252-IF(245&lt;=Grace,0,IF(245=NPer,P252,IF(Method="Equal principal (reducing payments)",MIN(ROUND(EqPrin,2),P252),MIN(ROUND(Annuity-Q252,2),P252)))),2),0)</f>
        <v>0</v>
      </c>
    </row>
    <row r="253" customFormat="false" ht="15" hidden="false" customHeight="false" outlineLevel="0" collapsed="false">
      <c r="A253" s="38" t="str">
        <f aca="false">IF(AND(N(K252)&gt;0.005,A252&lt;NPer),A252+1,"")</f>
        <v/>
      </c>
      <c r="B253" s="39" t="str">
        <f aca="false">IF(A253="","",EDATE(Disb,A253*MPP))</f>
        <v/>
      </c>
      <c r="C253" s="40" t="str">
        <f aca="false">IF(A253="","",IF(A253&lt;=Grace,"Grace","Repayment"))</f>
        <v/>
      </c>
      <c r="D253" s="41" t="str">
        <f aca="false">IF(A253="","",K252)</f>
        <v/>
      </c>
      <c r="E253" s="41" t="str">
        <f aca="false">IF(AND(A253&lt;&gt;"",D253&gt;0.005),F253+G253,"")</f>
        <v/>
      </c>
      <c r="F253" s="41" t="str">
        <f aca="false">IF(AND(A253&lt;&gt;"",D253&gt;0.005),ROUND(D253*RP,2),"")</f>
        <v/>
      </c>
      <c r="G253" s="41" t="str">
        <f aca="false">IF(AND(A253&lt;&gt;"",D253&gt;0.005),IF(A253&lt;=Grace,0,IF(A253=NPer,D253,IF(Method="Equal principal (reducing payments)",MIN(ROUND(EqPrin,2),D253),MIN(ROUND(Annuity-F253,2),D253)))),"")</f>
        <v/>
      </c>
      <c r="H253" s="41" t="str">
        <f aca="false">IF(AND(A253&lt;&gt;"",D253&gt;0.005),IF(A253&lt;=Grace,0,MIN(Extra,D253-G253)),"")</f>
        <v/>
      </c>
      <c r="I253" s="41" t="str">
        <f aca="false">IF(AND(A253&lt;&gt;"",D253&gt;0.005),MIN(SUMIF(LumpN,A253,LumpAmt),D253-G253-H253),"")</f>
        <v/>
      </c>
      <c r="J253" s="42" t="str">
        <f aca="false">IF(AND(A253&lt;&gt;"",D253&gt;0.005),E253+H253+I253,"")</f>
        <v/>
      </c>
      <c r="K253" s="42" t="str">
        <f aca="false">IF(AND(A253&lt;&gt;"",D253&gt;0.005),ROUND(D253-G253-H253-I253,2),"")</f>
        <v/>
      </c>
      <c r="L253" s="41" t="str">
        <f aca="false">IF(AND(A253&lt;&gt;"",D253&gt;0.005),L252+F253,"")</f>
        <v/>
      </c>
      <c r="M253" s="41" t="str">
        <f aca="false">IF(AND(A253&lt;&gt;"",D253&gt;0.005),M252+G253+H253+I253,"")</f>
        <v/>
      </c>
      <c r="N253" s="43" t="str">
        <f aca="false">IF(B253="","",YEAR(B253))</f>
        <v/>
      </c>
      <c r="O253" s="44" t="n">
        <f aca="false">IF(AND(A253&lt;&gt;"",D253&gt;0.005),J253,0)</f>
        <v>0</v>
      </c>
      <c r="P253" s="44" t="n">
        <f aca="false">R252</f>
        <v>0</v>
      </c>
      <c r="Q253" s="44" t="n">
        <f aca="false">IF(AND(P253&gt;0.005,246&lt;=NPer),ROUND(P253*RP,2),0)</f>
        <v>0</v>
      </c>
      <c r="R253" s="44" t="n">
        <f aca="false">IF(AND(P253&gt;0.005,246&lt;=NPer),ROUND(P253-IF(246&lt;=Grace,0,IF(246=NPer,P253,IF(Method="Equal principal (reducing payments)",MIN(ROUND(EqPrin,2),P253),MIN(ROUND(Annuity-Q253,2),P253)))),2),0)</f>
        <v>0</v>
      </c>
    </row>
    <row r="254" customFormat="false" ht="15" hidden="false" customHeight="false" outlineLevel="0" collapsed="false">
      <c r="A254" s="38" t="str">
        <f aca="false">IF(AND(N(K253)&gt;0.005,A253&lt;NPer),A253+1,"")</f>
        <v/>
      </c>
      <c r="B254" s="39" t="str">
        <f aca="false">IF(A254="","",EDATE(Disb,A254*MPP))</f>
        <v/>
      </c>
      <c r="C254" s="40" t="str">
        <f aca="false">IF(A254="","",IF(A254&lt;=Grace,"Grace","Repayment"))</f>
        <v/>
      </c>
      <c r="D254" s="41" t="str">
        <f aca="false">IF(A254="","",K253)</f>
        <v/>
      </c>
      <c r="E254" s="41" t="str">
        <f aca="false">IF(AND(A254&lt;&gt;"",D254&gt;0.005),F254+G254,"")</f>
        <v/>
      </c>
      <c r="F254" s="41" t="str">
        <f aca="false">IF(AND(A254&lt;&gt;"",D254&gt;0.005),ROUND(D254*RP,2),"")</f>
        <v/>
      </c>
      <c r="G254" s="41" t="str">
        <f aca="false">IF(AND(A254&lt;&gt;"",D254&gt;0.005),IF(A254&lt;=Grace,0,IF(A254=NPer,D254,IF(Method="Equal principal (reducing payments)",MIN(ROUND(EqPrin,2),D254),MIN(ROUND(Annuity-F254,2),D254)))),"")</f>
        <v/>
      </c>
      <c r="H254" s="41" t="str">
        <f aca="false">IF(AND(A254&lt;&gt;"",D254&gt;0.005),IF(A254&lt;=Grace,0,MIN(Extra,D254-G254)),"")</f>
        <v/>
      </c>
      <c r="I254" s="41" t="str">
        <f aca="false">IF(AND(A254&lt;&gt;"",D254&gt;0.005),MIN(SUMIF(LumpN,A254,LumpAmt),D254-G254-H254),"")</f>
        <v/>
      </c>
      <c r="J254" s="42" t="str">
        <f aca="false">IF(AND(A254&lt;&gt;"",D254&gt;0.005),E254+H254+I254,"")</f>
        <v/>
      </c>
      <c r="K254" s="42" t="str">
        <f aca="false">IF(AND(A254&lt;&gt;"",D254&gt;0.005),ROUND(D254-G254-H254-I254,2),"")</f>
        <v/>
      </c>
      <c r="L254" s="41" t="str">
        <f aca="false">IF(AND(A254&lt;&gt;"",D254&gt;0.005),L253+F254,"")</f>
        <v/>
      </c>
      <c r="M254" s="41" t="str">
        <f aca="false">IF(AND(A254&lt;&gt;"",D254&gt;0.005),M253+G254+H254+I254,"")</f>
        <v/>
      </c>
      <c r="N254" s="43" t="str">
        <f aca="false">IF(B254="","",YEAR(B254))</f>
        <v/>
      </c>
      <c r="O254" s="44" t="n">
        <f aca="false">IF(AND(A254&lt;&gt;"",D254&gt;0.005),J254,0)</f>
        <v>0</v>
      </c>
      <c r="P254" s="44" t="n">
        <f aca="false">R253</f>
        <v>0</v>
      </c>
      <c r="Q254" s="44" t="n">
        <f aca="false">IF(AND(P254&gt;0.005,247&lt;=NPer),ROUND(P254*RP,2),0)</f>
        <v>0</v>
      </c>
      <c r="R254" s="44" t="n">
        <f aca="false">IF(AND(P254&gt;0.005,247&lt;=NPer),ROUND(P254-IF(247&lt;=Grace,0,IF(247=NPer,P254,IF(Method="Equal principal (reducing payments)",MIN(ROUND(EqPrin,2),P254),MIN(ROUND(Annuity-Q254,2),P254)))),2),0)</f>
        <v>0</v>
      </c>
    </row>
    <row r="255" customFormat="false" ht="15" hidden="false" customHeight="false" outlineLevel="0" collapsed="false">
      <c r="A255" s="38" t="str">
        <f aca="false">IF(AND(N(K254)&gt;0.005,A254&lt;NPer),A254+1,"")</f>
        <v/>
      </c>
      <c r="B255" s="39" t="str">
        <f aca="false">IF(A255="","",EDATE(Disb,A255*MPP))</f>
        <v/>
      </c>
      <c r="C255" s="40" t="str">
        <f aca="false">IF(A255="","",IF(A255&lt;=Grace,"Grace","Repayment"))</f>
        <v/>
      </c>
      <c r="D255" s="41" t="str">
        <f aca="false">IF(A255="","",K254)</f>
        <v/>
      </c>
      <c r="E255" s="41" t="str">
        <f aca="false">IF(AND(A255&lt;&gt;"",D255&gt;0.005),F255+G255,"")</f>
        <v/>
      </c>
      <c r="F255" s="41" t="str">
        <f aca="false">IF(AND(A255&lt;&gt;"",D255&gt;0.005),ROUND(D255*RP,2),"")</f>
        <v/>
      </c>
      <c r="G255" s="41" t="str">
        <f aca="false">IF(AND(A255&lt;&gt;"",D255&gt;0.005),IF(A255&lt;=Grace,0,IF(A255=NPer,D255,IF(Method="Equal principal (reducing payments)",MIN(ROUND(EqPrin,2),D255),MIN(ROUND(Annuity-F255,2),D255)))),"")</f>
        <v/>
      </c>
      <c r="H255" s="41" t="str">
        <f aca="false">IF(AND(A255&lt;&gt;"",D255&gt;0.005),IF(A255&lt;=Grace,0,MIN(Extra,D255-G255)),"")</f>
        <v/>
      </c>
      <c r="I255" s="41" t="str">
        <f aca="false">IF(AND(A255&lt;&gt;"",D255&gt;0.005),MIN(SUMIF(LumpN,A255,LumpAmt),D255-G255-H255),"")</f>
        <v/>
      </c>
      <c r="J255" s="42" t="str">
        <f aca="false">IF(AND(A255&lt;&gt;"",D255&gt;0.005),E255+H255+I255,"")</f>
        <v/>
      </c>
      <c r="K255" s="42" t="str">
        <f aca="false">IF(AND(A255&lt;&gt;"",D255&gt;0.005),ROUND(D255-G255-H255-I255,2),"")</f>
        <v/>
      </c>
      <c r="L255" s="41" t="str">
        <f aca="false">IF(AND(A255&lt;&gt;"",D255&gt;0.005),L254+F255,"")</f>
        <v/>
      </c>
      <c r="M255" s="41" t="str">
        <f aca="false">IF(AND(A255&lt;&gt;"",D255&gt;0.005),M254+G255+H255+I255,"")</f>
        <v/>
      </c>
      <c r="N255" s="43" t="str">
        <f aca="false">IF(B255="","",YEAR(B255))</f>
        <v/>
      </c>
      <c r="O255" s="44" t="n">
        <f aca="false">IF(AND(A255&lt;&gt;"",D255&gt;0.005),J255,0)</f>
        <v>0</v>
      </c>
      <c r="P255" s="44" t="n">
        <f aca="false">R254</f>
        <v>0</v>
      </c>
      <c r="Q255" s="44" t="n">
        <f aca="false">IF(AND(P255&gt;0.005,248&lt;=NPer),ROUND(P255*RP,2),0)</f>
        <v>0</v>
      </c>
      <c r="R255" s="44" t="n">
        <f aca="false">IF(AND(P255&gt;0.005,248&lt;=NPer),ROUND(P255-IF(248&lt;=Grace,0,IF(248=NPer,P255,IF(Method="Equal principal (reducing payments)",MIN(ROUND(EqPrin,2),P255),MIN(ROUND(Annuity-Q255,2),P255)))),2),0)</f>
        <v>0</v>
      </c>
    </row>
    <row r="256" customFormat="false" ht="15" hidden="false" customHeight="false" outlineLevel="0" collapsed="false">
      <c r="A256" s="38" t="str">
        <f aca="false">IF(AND(N(K255)&gt;0.005,A255&lt;NPer),A255+1,"")</f>
        <v/>
      </c>
      <c r="B256" s="39" t="str">
        <f aca="false">IF(A256="","",EDATE(Disb,A256*MPP))</f>
        <v/>
      </c>
      <c r="C256" s="40" t="str">
        <f aca="false">IF(A256="","",IF(A256&lt;=Grace,"Grace","Repayment"))</f>
        <v/>
      </c>
      <c r="D256" s="41" t="str">
        <f aca="false">IF(A256="","",K255)</f>
        <v/>
      </c>
      <c r="E256" s="41" t="str">
        <f aca="false">IF(AND(A256&lt;&gt;"",D256&gt;0.005),F256+G256,"")</f>
        <v/>
      </c>
      <c r="F256" s="41" t="str">
        <f aca="false">IF(AND(A256&lt;&gt;"",D256&gt;0.005),ROUND(D256*RP,2),"")</f>
        <v/>
      </c>
      <c r="G256" s="41" t="str">
        <f aca="false">IF(AND(A256&lt;&gt;"",D256&gt;0.005),IF(A256&lt;=Grace,0,IF(A256=NPer,D256,IF(Method="Equal principal (reducing payments)",MIN(ROUND(EqPrin,2),D256),MIN(ROUND(Annuity-F256,2),D256)))),"")</f>
        <v/>
      </c>
      <c r="H256" s="41" t="str">
        <f aca="false">IF(AND(A256&lt;&gt;"",D256&gt;0.005),IF(A256&lt;=Grace,0,MIN(Extra,D256-G256)),"")</f>
        <v/>
      </c>
      <c r="I256" s="41" t="str">
        <f aca="false">IF(AND(A256&lt;&gt;"",D256&gt;0.005),MIN(SUMIF(LumpN,A256,LumpAmt),D256-G256-H256),"")</f>
        <v/>
      </c>
      <c r="J256" s="42" t="str">
        <f aca="false">IF(AND(A256&lt;&gt;"",D256&gt;0.005),E256+H256+I256,"")</f>
        <v/>
      </c>
      <c r="K256" s="42" t="str">
        <f aca="false">IF(AND(A256&lt;&gt;"",D256&gt;0.005),ROUND(D256-G256-H256-I256,2),"")</f>
        <v/>
      </c>
      <c r="L256" s="41" t="str">
        <f aca="false">IF(AND(A256&lt;&gt;"",D256&gt;0.005),L255+F256,"")</f>
        <v/>
      </c>
      <c r="M256" s="41" t="str">
        <f aca="false">IF(AND(A256&lt;&gt;"",D256&gt;0.005),M255+G256+H256+I256,"")</f>
        <v/>
      </c>
      <c r="N256" s="43" t="str">
        <f aca="false">IF(B256="","",YEAR(B256))</f>
        <v/>
      </c>
      <c r="O256" s="44" t="n">
        <f aca="false">IF(AND(A256&lt;&gt;"",D256&gt;0.005),J256,0)</f>
        <v>0</v>
      </c>
      <c r="P256" s="44" t="n">
        <f aca="false">R255</f>
        <v>0</v>
      </c>
      <c r="Q256" s="44" t="n">
        <f aca="false">IF(AND(P256&gt;0.005,249&lt;=NPer),ROUND(P256*RP,2),0)</f>
        <v>0</v>
      </c>
      <c r="R256" s="44" t="n">
        <f aca="false">IF(AND(P256&gt;0.005,249&lt;=NPer),ROUND(P256-IF(249&lt;=Grace,0,IF(249=NPer,P256,IF(Method="Equal principal (reducing payments)",MIN(ROUND(EqPrin,2),P256),MIN(ROUND(Annuity-Q256,2),P256)))),2),0)</f>
        <v>0</v>
      </c>
    </row>
    <row r="257" customFormat="false" ht="15" hidden="false" customHeight="false" outlineLevel="0" collapsed="false">
      <c r="A257" s="38" t="str">
        <f aca="false">IF(AND(N(K256)&gt;0.005,A256&lt;NPer),A256+1,"")</f>
        <v/>
      </c>
      <c r="B257" s="39" t="str">
        <f aca="false">IF(A257="","",EDATE(Disb,A257*MPP))</f>
        <v/>
      </c>
      <c r="C257" s="40" t="str">
        <f aca="false">IF(A257="","",IF(A257&lt;=Grace,"Grace","Repayment"))</f>
        <v/>
      </c>
      <c r="D257" s="41" t="str">
        <f aca="false">IF(A257="","",K256)</f>
        <v/>
      </c>
      <c r="E257" s="41" t="str">
        <f aca="false">IF(AND(A257&lt;&gt;"",D257&gt;0.005),F257+G257,"")</f>
        <v/>
      </c>
      <c r="F257" s="41" t="str">
        <f aca="false">IF(AND(A257&lt;&gt;"",D257&gt;0.005),ROUND(D257*RP,2),"")</f>
        <v/>
      </c>
      <c r="G257" s="41" t="str">
        <f aca="false">IF(AND(A257&lt;&gt;"",D257&gt;0.005),IF(A257&lt;=Grace,0,IF(A257=NPer,D257,IF(Method="Equal principal (reducing payments)",MIN(ROUND(EqPrin,2),D257),MIN(ROUND(Annuity-F257,2),D257)))),"")</f>
        <v/>
      </c>
      <c r="H257" s="41" t="str">
        <f aca="false">IF(AND(A257&lt;&gt;"",D257&gt;0.005),IF(A257&lt;=Grace,0,MIN(Extra,D257-G257)),"")</f>
        <v/>
      </c>
      <c r="I257" s="41" t="str">
        <f aca="false">IF(AND(A257&lt;&gt;"",D257&gt;0.005),MIN(SUMIF(LumpN,A257,LumpAmt),D257-G257-H257),"")</f>
        <v/>
      </c>
      <c r="J257" s="42" t="str">
        <f aca="false">IF(AND(A257&lt;&gt;"",D257&gt;0.005),E257+H257+I257,"")</f>
        <v/>
      </c>
      <c r="K257" s="42" t="str">
        <f aca="false">IF(AND(A257&lt;&gt;"",D257&gt;0.005),ROUND(D257-G257-H257-I257,2),"")</f>
        <v/>
      </c>
      <c r="L257" s="41" t="str">
        <f aca="false">IF(AND(A257&lt;&gt;"",D257&gt;0.005),L256+F257,"")</f>
        <v/>
      </c>
      <c r="M257" s="41" t="str">
        <f aca="false">IF(AND(A257&lt;&gt;"",D257&gt;0.005),M256+G257+H257+I257,"")</f>
        <v/>
      </c>
      <c r="N257" s="43" t="str">
        <f aca="false">IF(B257="","",YEAR(B257))</f>
        <v/>
      </c>
      <c r="O257" s="44" t="n">
        <f aca="false">IF(AND(A257&lt;&gt;"",D257&gt;0.005),J257,0)</f>
        <v>0</v>
      </c>
      <c r="P257" s="44" t="n">
        <f aca="false">R256</f>
        <v>0</v>
      </c>
      <c r="Q257" s="44" t="n">
        <f aca="false">IF(AND(P257&gt;0.005,250&lt;=NPer),ROUND(P257*RP,2),0)</f>
        <v>0</v>
      </c>
      <c r="R257" s="44" t="n">
        <f aca="false">IF(AND(P257&gt;0.005,250&lt;=NPer),ROUND(P257-IF(250&lt;=Grace,0,IF(250=NPer,P257,IF(Method="Equal principal (reducing payments)",MIN(ROUND(EqPrin,2),P257),MIN(ROUND(Annuity-Q257,2),P257)))),2),0)</f>
        <v>0</v>
      </c>
    </row>
    <row r="258" customFormat="false" ht="15" hidden="false" customHeight="false" outlineLevel="0" collapsed="false">
      <c r="A258" s="38" t="str">
        <f aca="false">IF(AND(N(K257)&gt;0.005,A257&lt;NPer),A257+1,"")</f>
        <v/>
      </c>
      <c r="B258" s="39" t="str">
        <f aca="false">IF(A258="","",EDATE(Disb,A258*MPP))</f>
        <v/>
      </c>
      <c r="C258" s="40" t="str">
        <f aca="false">IF(A258="","",IF(A258&lt;=Grace,"Grace","Repayment"))</f>
        <v/>
      </c>
      <c r="D258" s="41" t="str">
        <f aca="false">IF(A258="","",K257)</f>
        <v/>
      </c>
      <c r="E258" s="41" t="str">
        <f aca="false">IF(AND(A258&lt;&gt;"",D258&gt;0.005),F258+G258,"")</f>
        <v/>
      </c>
      <c r="F258" s="41" t="str">
        <f aca="false">IF(AND(A258&lt;&gt;"",D258&gt;0.005),ROUND(D258*RP,2),"")</f>
        <v/>
      </c>
      <c r="G258" s="41" t="str">
        <f aca="false">IF(AND(A258&lt;&gt;"",D258&gt;0.005),IF(A258&lt;=Grace,0,IF(A258=NPer,D258,IF(Method="Equal principal (reducing payments)",MIN(ROUND(EqPrin,2),D258),MIN(ROUND(Annuity-F258,2),D258)))),"")</f>
        <v/>
      </c>
      <c r="H258" s="41" t="str">
        <f aca="false">IF(AND(A258&lt;&gt;"",D258&gt;0.005),IF(A258&lt;=Grace,0,MIN(Extra,D258-G258)),"")</f>
        <v/>
      </c>
      <c r="I258" s="41" t="str">
        <f aca="false">IF(AND(A258&lt;&gt;"",D258&gt;0.005),MIN(SUMIF(LumpN,A258,LumpAmt),D258-G258-H258),"")</f>
        <v/>
      </c>
      <c r="J258" s="42" t="str">
        <f aca="false">IF(AND(A258&lt;&gt;"",D258&gt;0.005),E258+H258+I258,"")</f>
        <v/>
      </c>
      <c r="K258" s="42" t="str">
        <f aca="false">IF(AND(A258&lt;&gt;"",D258&gt;0.005),ROUND(D258-G258-H258-I258,2),"")</f>
        <v/>
      </c>
      <c r="L258" s="41" t="str">
        <f aca="false">IF(AND(A258&lt;&gt;"",D258&gt;0.005),L257+F258,"")</f>
        <v/>
      </c>
      <c r="M258" s="41" t="str">
        <f aca="false">IF(AND(A258&lt;&gt;"",D258&gt;0.005),M257+G258+H258+I258,"")</f>
        <v/>
      </c>
      <c r="N258" s="43" t="str">
        <f aca="false">IF(B258="","",YEAR(B258))</f>
        <v/>
      </c>
      <c r="O258" s="44" t="n">
        <f aca="false">IF(AND(A258&lt;&gt;"",D258&gt;0.005),J258,0)</f>
        <v>0</v>
      </c>
      <c r="P258" s="44" t="n">
        <f aca="false">R257</f>
        <v>0</v>
      </c>
      <c r="Q258" s="44" t="n">
        <f aca="false">IF(AND(P258&gt;0.005,251&lt;=NPer),ROUND(P258*RP,2),0)</f>
        <v>0</v>
      </c>
      <c r="R258" s="44" t="n">
        <f aca="false">IF(AND(P258&gt;0.005,251&lt;=NPer),ROUND(P258-IF(251&lt;=Grace,0,IF(251=NPer,P258,IF(Method="Equal principal (reducing payments)",MIN(ROUND(EqPrin,2),P258),MIN(ROUND(Annuity-Q258,2),P258)))),2),0)</f>
        <v>0</v>
      </c>
    </row>
    <row r="259" customFormat="false" ht="15" hidden="false" customHeight="false" outlineLevel="0" collapsed="false">
      <c r="A259" s="38" t="str">
        <f aca="false">IF(AND(N(K258)&gt;0.005,A258&lt;NPer),A258+1,"")</f>
        <v/>
      </c>
      <c r="B259" s="39" t="str">
        <f aca="false">IF(A259="","",EDATE(Disb,A259*MPP))</f>
        <v/>
      </c>
      <c r="C259" s="40" t="str">
        <f aca="false">IF(A259="","",IF(A259&lt;=Grace,"Grace","Repayment"))</f>
        <v/>
      </c>
      <c r="D259" s="41" t="str">
        <f aca="false">IF(A259="","",K258)</f>
        <v/>
      </c>
      <c r="E259" s="41" t="str">
        <f aca="false">IF(AND(A259&lt;&gt;"",D259&gt;0.005),F259+G259,"")</f>
        <v/>
      </c>
      <c r="F259" s="41" t="str">
        <f aca="false">IF(AND(A259&lt;&gt;"",D259&gt;0.005),ROUND(D259*RP,2),"")</f>
        <v/>
      </c>
      <c r="G259" s="41" t="str">
        <f aca="false">IF(AND(A259&lt;&gt;"",D259&gt;0.005),IF(A259&lt;=Grace,0,IF(A259=NPer,D259,IF(Method="Equal principal (reducing payments)",MIN(ROUND(EqPrin,2),D259),MIN(ROUND(Annuity-F259,2),D259)))),"")</f>
        <v/>
      </c>
      <c r="H259" s="41" t="str">
        <f aca="false">IF(AND(A259&lt;&gt;"",D259&gt;0.005),IF(A259&lt;=Grace,0,MIN(Extra,D259-G259)),"")</f>
        <v/>
      </c>
      <c r="I259" s="41" t="str">
        <f aca="false">IF(AND(A259&lt;&gt;"",D259&gt;0.005),MIN(SUMIF(LumpN,A259,LumpAmt),D259-G259-H259),"")</f>
        <v/>
      </c>
      <c r="J259" s="42" t="str">
        <f aca="false">IF(AND(A259&lt;&gt;"",D259&gt;0.005),E259+H259+I259,"")</f>
        <v/>
      </c>
      <c r="K259" s="42" t="str">
        <f aca="false">IF(AND(A259&lt;&gt;"",D259&gt;0.005),ROUND(D259-G259-H259-I259,2),"")</f>
        <v/>
      </c>
      <c r="L259" s="41" t="str">
        <f aca="false">IF(AND(A259&lt;&gt;"",D259&gt;0.005),L258+F259,"")</f>
        <v/>
      </c>
      <c r="M259" s="41" t="str">
        <f aca="false">IF(AND(A259&lt;&gt;"",D259&gt;0.005),M258+G259+H259+I259,"")</f>
        <v/>
      </c>
      <c r="N259" s="43" t="str">
        <f aca="false">IF(B259="","",YEAR(B259))</f>
        <v/>
      </c>
      <c r="O259" s="44" t="n">
        <f aca="false">IF(AND(A259&lt;&gt;"",D259&gt;0.005),J259,0)</f>
        <v>0</v>
      </c>
      <c r="P259" s="44" t="n">
        <f aca="false">R258</f>
        <v>0</v>
      </c>
      <c r="Q259" s="44" t="n">
        <f aca="false">IF(AND(P259&gt;0.005,252&lt;=NPer),ROUND(P259*RP,2),0)</f>
        <v>0</v>
      </c>
      <c r="R259" s="44" t="n">
        <f aca="false">IF(AND(P259&gt;0.005,252&lt;=NPer),ROUND(P259-IF(252&lt;=Grace,0,IF(252=NPer,P259,IF(Method="Equal principal (reducing payments)",MIN(ROUND(EqPrin,2),P259),MIN(ROUND(Annuity-Q259,2),P259)))),2),0)</f>
        <v>0</v>
      </c>
    </row>
    <row r="260" customFormat="false" ht="15" hidden="false" customHeight="false" outlineLevel="0" collapsed="false">
      <c r="A260" s="38" t="str">
        <f aca="false">IF(AND(N(K259)&gt;0.005,A259&lt;NPer),A259+1,"")</f>
        <v/>
      </c>
      <c r="B260" s="39" t="str">
        <f aca="false">IF(A260="","",EDATE(Disb,A260*MPP))</f>
        <v/>
      </c>
      <c r="C260" s="40" t="str">
        <f aca="false">IF(A260="","",IF(A260&lt;=Grace,"Grace","Repayment"))</f>
        <v/>
      </c>
      <c r="D260" s="41" t="str">
        <f aca="false">IF(A260="","",K259)</f>
        <v/>
      </c>
      <c r="E260" s="41" t="str">
        <f aca="false">IF(AND(A260&lt;&gt;"",D260&gt;0.005),F260+G260,"")</f>
        <v/>
      </c>
      <c r="F260" s="41" t="str">
        <f aca="false">IF(AND(A260&lt;&gt;"",D260&gt;0.005),ROUND(D260*RP,2),"")</f>
        <v/>
      </c>
      <c r="G260" s="41" t="str">
        <f aca="false">IF(AND(A260&lt;&gt;"",D260&gt;0.005),IF(A260&lt;=Grace,0,IF(A260=NPer,D260,IF(Method="Equal principal (reducing payments)",MIN(ROUND(EqPrin,2),D260),MIN(ROUND(Annuity-F260,2),D260)))),"")</f>
        <v/>
      </c>
      <c r="H260" s="41" t="str">
        <f aca="false">IF(AND(A260&lt;&gt;"",D260&gt;0.005),IF(A260&lt;=Grace,0,MIN(Extra,D260-G260)),"")</f>
        <v/>
      </c>
      <c r="I260" s="41" t="str">
        <f aca="false">IF(AND(A260&lt;&gt;"",D260&gt;0.005),MIN(SUMIF(LumpN,A260,LumpAmt),D260-G260-H260),"")</f>
        <v/>
      </c>
      <c r="J260" s="42" t="str">
        <f aca="false">IF(AND(A260&lt;&gt;"",D260&gt;0.005),E260+H260+I260,"")</f>
        <v/>
      </c>
      <c r="K260" s="42" t="str">
        <f aca="false">IF(AND(A260&lt;&gt;"",D260&gt;0.005),ROUND(D260-G260-H260-I260,2),"")</f>
        <v/>
      </c>
      <c r="L260" s="41" t="str">
        <f aca="false">IF(AND(A260&lt;&gt;"",D260&gt;0.005),L259+F260,"")</f>
        <v/>
      </c>
      <c r="M260" s="41" t="str">
        <f aca="false">IF(AND(A260&lt;&gt;"",D260&gt;0.005),M259+G260+H260+I260,"")</f>
        <v/>
      </c>
      <c r="N260" s="43" t="str">
        <f aca="false">IF(B260="","",YEAR(B260))</f>
        <v/>
      </c>
      <c r="O260" s="44" t="n">
        <f aca="false">IF(AND(A260&lt;&gt;"",D260&gt;0.005),J260,0)</f>
        <v>0</v>
      </c>
      <c r="P260" s="44" t="n">
        <f aca="false">R259</f>
        <v>0</v>
      </c>
      <c r="Q260" s="44" t="n">
        <f aca="false">IF(AND(P260&gt;0.005,253&lt;=NPer),ROUND(P260*RP,2),0)</f>
        <v>0</v>
      </c>
      <c r="R260" s="44" t="n">
        <f aca="false">IF(AND(P260&gt;0.005,253&lt;=NPer),ROUND(P260-IF(253&lt;=Grace,0,IF(253=NPer,P260,IF(Method="Equal principal (reducing payments)",MIN(ROUND(EqPrin,2),P260),MIN(ROUND(Annuity-Q260,2),P260)))),2),0)</f>
        <v>0</v>
      </c>
    </row>
    <row r="261" customFormat="false" ht="15" hidden="false" customHeight="false" outlineLevel="0" collapsed="false">
      <c r="A261" s="38" t="str">
        <f aca="false">IF(AND(N(K260)&gt;0.005,A260&lt;NPer),A260+1,"")</f>
        <v/>
      </c>
      <c r="B261" s="39" t="str">
        <f aca="false">IF(A261="","",EDATE(Disb,A261*MPP))</f>
        <v/>
      </c>
      <c r="C261" s="40" t="str">
        <f aca="false">IF(A261="","",IF(A261&lt;=Grace,"Grace","Repayment"))</f>
        <v/>
      </c>
      <c r="D261" s="41" t="str">
        <f aca="false">IF(A261="","",K260)</f>
        <v/>
      </c>
      <c r="E261" s="41" t="str">
        <f aca="false">IF(AND(A261&lt;&gt;"",D261&gt;0.005),F261+G261,"")</f>
        <v/>
      </c>
      <c r="F261" s="41" t="str">
        <f aca="false">IF(AND(A261&lt;&gt;"",D261&gt;0.005),ROUND(D261*RP,2),"")</f>
        <v/>
      </c>
      <c r="G261" s="41" t="str">
        <f aca="false">IF(AND(A261&lt;&gt;"",D261&gt;0.005),IF(A261&lt;=Grace,0,IF(A261=NPer,D261,IF(Method="Equal principal (reducing payments)",MIN(ROUND(EqPrin,2),D261),MIN(ROUND(Annuity-F261,2),D261)))),"")</f>
        <v/>
      </c>
      <c r="H261" s="41" t="str">
        <f aca="false">IF(AND(A261&lt;&gt;"",D261&gt;0.005),IF(A261&lt;=Grace,0,MIN(Extra,D261-G261)),"")</f>
        <v/>
      </c>
      <c r="I261" s="41" t="str">
        <f aca="false">IF(AND(A261&lt;&gt;"",D261&gt;0.005),MIN(SUMIF(LumpN,A261,LumpAmt),D261-G261-H261),"")</f>
        <v/>
      </c>
      <c r="J261" s="42" t="str">
        <f aca="false">IF(AND(A261&lt;&gt;"",D261&gt;0.005),E261+H261+I261,"")</f>
        <v/>
      </c>
      <c r="K261" s="42" t="str">
        <f aca="false">IF(AND(A261&lt;&gt;"",D261&gt;0.005),ROUND(D261-G261-H261-I261,2),"")</f>
        <v/>
      </c>
      <c r="L261" s="41" t="str">
        <f aca="false">IF(AND(A261&lt;&gt;"",D261&gt;0.005),L260+F261,"")</f>
        <v/>
      </c>
      <c r="M261" s="41" t="str">
        <f aca="false">IF(AND(A261&lt;&gt;"",D261&gt;0.005),M260+G261+H261+I261,"")</f>
        <v/>
      </c>
      <c r="N261" s="43" t="str">
        <f aca="false">IF(B261="","",YEAR(B261))</f>
        <v/>
      </c>
      <c r="O261" s="44" t="n">
        <f aca="false">IF(AND(A261&lt;&gt;"",D261&gt;0.005),J261,0)</f>
        <v>0</v>
      </c>
      <c r="P261" s="44" t="n">
        <f aca="false">R260</f>
        <v>0</v>
      </c>
      <c r="Q261" s="44" t="n">
        <f aca="false">IF(AND(P261&gt;0.005,254&lt;=NPer),ROUND(P261*RP,2),0)</f>
        <v>0</v>
      </c>
      <c r="R261" s="44" t="n">
        <f aca="false">IF(AND(P261&gt;0.005,254&lt;=NPer),ROUND(P261-IF(254&lt;=Grace,0,IF(254=NPer,P261,IF(Method="Equal principal (reducing payments)",MIN(ROUND(EqPrin,2),P261),MIN(ROUND(Annuity-Q261,2),P261)))),2),0)</f>
        <v>0</v>
      </c>
    </row>
    <row r="262" customFormat="false" ht="15" hidden="false" customHeight="false" outlineLevel="0" collapsed="false">
      <c r="A262" s="38" t="str">
        <f aca="false">IF(AND(N(K261)&gt;0.005,A261&lt;NPer),A261+1,"")</f>
        <v/>
      </c>
      <c r="B262" s="39" t="str">
        <f aca="false">IF(A262="","",EDATE(Disb,A262*MPP))</f>
        <v/>
      </c>
      <c r="C262" s="40" t="str">
        <f aca="false">IF(A262="","",IF(A262&lt;=Grace,"Grace","Repayment"))</f>
        <v/>
      </c>
      <c r="D262" s="41" t="str">
        <f aca="false">IF(A262="","",K261)</f>
        <v/>
      </c>
      <c r="E262" s="41" t="str">
        <f aca="false">IF(AND(A262&lt;&gt;"",D262&gt;0.005),F262+G262,"")</f>
        <v/>
      </c>
      <c r="F262" s="41" t="str">
        <f aca="false">IF(AND(A262&lt;&gt;"",D262&gt;0.005),ROUND(D262*RP,2),"")</f>
        <v/>
      </c>
      <c r="G262" s="41" t="str">
        <f aca="false">IF(AND(A262&lt;&gt;"",D262&gt;0.005),IF(A262&lt;=Grace,0,IF(A262=NPer,D262,IF(Method="Equal principal (reducing payments)",MIN(ROUND(EqPrin,2),D262),MIN(ROUND(Annuity-F262,2),D262)))),"")</f>
        <v/>
      </c>
      <c r="H262" s="41" t="str">
        <f aca="false">IF(AND(A262&lt;&gt;"",D262&gt;0.005),IF(A262&lt;=Grace,0,MIN(Extra,D262-G262)),"")</f>
        <v/>
      </c>
      <c r="I262" s="41" t="str">
        <f aca="false">IF(AND(A262&lt;&gt;"",D262&gt;0.005),MIN(SUMIF(LumpN,A262,LumpAmt),D262-G262-H262),"")</f>
        <v/>
      </c>
      <c r="J262" s="42" t="str">
        <f aca="false">IF(AND(A262&lt;&gt;"",D262&gt;0.005),E262+H262+I262,"")</f>
        <v/>
      </c>
      <c r="K262" s="42" t="str">
        <f aca="false">IF(AND(A262&lt;&gt;"",D262&gt;0.005),ROUND(D262-G262-H262-I262,2),"")</f>
        <v/>
      </c>
      <c r="L262" s="41" t="str">
        <f aca="false">IF(AND(A262&lt;&gt;"",D262&gt;0.005),L261+F262,"")</f>
        <v/>
      </c>
      <c r="M262" s="41" t="str">
        <f aca="false">IF(AND(A262&lt;&gt;"",D262&gt;0.005),M261+G262+H262+I262,"")</f>
        <v/>
      </c>
      <c r="N262" s="43" t="str">
        <f aca="false">IF(B262="","",YEAR(B262))</f>
        <v/>
      </c>
      <c r="O262" s="44" t="n">
        <f aca="false">IF(AND(A262&lt;&gt;"",D262&gt;0.005),J262,0)</f>
        <v>0</v>
      </c>
      <c r="P262" s="44" t="n">
        <f aca="false">R261</f>
        <v>0</v>
      </c>
      <c r="Q262" s="44" t="n">
        <f aca="false">IF(AND(P262&gt;0.005,255&lt;=NPer),ROUND(P262*RP,2),0)</f>
        <v>0</v>
      </c>
      <c r="R262" s="44" t="n">
        <f aca="false">IF(AND(P262&gt;0.005,255&lt;=NPer),ROUND(P262-IF(255&lt;=Grace,0,IF(255=NPer,P262,IF(Method="Equal principal (reducing payments)",MIN(ROUND(EqPrin,2),P262),MIN(ROUND(Annuity-Q262,2),P262)))),2),0)</f>
        <v>0</v>
      </c>
    </row>
    <row r="263" customFormat="false" ht="15" hidden="false" customHeight="false" outlineLevel="0" collapsed="false">
      <c r="A263" s="38" t="str">
        <f aca="false">IF(AND(N(K262)&gt;0.005,A262&lt;NPer),A262+1,"")</f>
        <v/>
      </c>
      <c r="B263" s="39" t="str">
        <f aca="false">IF(A263="","",EDATE(Disb,A263*MPP))</f>
        <v/>
      </c>
      <c r="C263" s="40" t="str">
        <f aca="false">IF(A263="","",IF(A263&lt;=Grace,"Grace","Repayment"))</f>
        <v/>
      </c>
      <c r="D263" s="41" t="str">
        <f aca="false">IF(A263="","",K262)</f>
        <v/>
      </c>
      <c r="E263" s="41" t="str">
        <f aca="false">IF(AND(A263&lt;&gt;"",D263&gt;0.005),F263+G263,"")</f>
        <v/>
      </c>
      <c r="F263" s="41" t="str">
        <f aca="false">IF(AND(A263&lt;&gt;"",D263&gt;0.005),ROUND(D263*RP,2),"")</f>
        <v/>
      </c>
      <c r="G263" s="41" t="str">
        <f aca="false">IF(AND(A263&lt;&gt;"",D263&gt;0.005),IF(A263&lt;=Grace,0,IF(A263=NPer,D263,IF(Method="Equal principal (reducing payments)",MIN(ROUND(EqPrin,2),D263),MIN(ROUND(Annuity-F263,2),D263)))),"")</f>
        <v/>
      </c>
      <c r="H263" s="41" t="str">
        <f aca="false">IF(AND(A263&lt;&gt;"",D263&gt;0.005),IF(A263&lt;=Grace,0,MIN(Extra,D263-G263)),"")</f>
        <v/>
      </c>
      <c r="I263" s="41" t="str">
        <f aca="false">IF(AND(A263&lt;&gt;"",D263&gt;0.005),MIN(SUMIF(LumpN,A263,LumpAmt),D263-G263-H263),"")</f>
        <v/>
      </c>
      <c r="J263" s="42" t="str">
        <f aca="false">IF(AND(A263&lt;&gt;"",D263&gt;0.005),E263+H263+I263,"")</f>
        <v/>
      </c>
      <c r="K263" s="42" t="str">
        <f aca="false">IF(AND(A263&lt;&gt;"",D263&gt;0.005),ROUND(D263-G263-H263-I263,2),"")</f>
        <v/>
      </c>
      <c r="L263" s="41" t="str">
        <f aca="false">IF(AND(A263&lt;&gt;"",D263&gt;0.005),L262+F263,"")</f>
        <v/>
      </c>
      <c r="M263" s="41" t="str">
        <f aca="false">IF(AND(A263&lt;&gt;"",D263&gt;0.005),M262+G263+H263+I263,"")</f>
        <v/>
      </c>
      <c r="N263" s="43" t="str">
        <f aca="false">IF(B263="","",YEAR(B263))</f>
        <v/>
      </c>
      <c r="O263" s="44" t="n">
        <f aca="false">IF(AND(A263&lt;&gt;"",D263&gt;0.005),J263,0)</f>
        <v>0</v>
      </c>
      <c r="P263" s="44" t="n">
        <f aca="false">R262</f>
        <v>0</v>
      </c>
      <c r="Q263" s="44" t="n">
        <f aca="false">IF(AND(P263&gt;0.005,256&lt;=NPer),ROUND(P263*RP,2),0)</f>
        <v>0</v>
      </c>
      <c r="R263" s="44" t="n">
        <f aca="false">IF(AND(P263&gt;0.005,256&lt;=NPer),ROUND(P263-IF(256&lt;=Grace,0,IF(256=NPer,P263,IF(Method="Equal principal (reducing payments)",MIN(ROUND(EqPrin,2),P263),MIN(ROUND(Annuity-Q263,2),P263)))),2),0)</f>
        <v>0</v>
      </c>
    </row>
    <row r="264" customFormat="false" ht="15" hidden="false" customHeight="false" outlineLevel="0" collapsed="false">
      <c r="A264" s="38" t="str">
        <f aca="false">IF(AND(N(K263)&gt;0.005,A263&lt;NPer),A263+1,"")</f>
        <v/>
      </c>
      <c r="B264" s="39" t="str">
        <f aca="false">IF(A264="","",EDATE(Disb,A264*MPP))</f>
        <v/>
      </c>
      <c r="C264" s="40" t="str">
        <f aca="false">IF(A264="","",IF(A264&lt;=Grace,"Grace","Repayment"))</f>
        <v/>
      </c>
      <c r="D264" s="41" t="str">
        <f aca="false">IF(A264="","",K263)</f>
        <v/>
      </c>
      <c r="E264" s="41" t="str">
        <f aca="false">IF(AND(A264&lt;&gt;"",D264&gt;0.005),F264+G264,"")</f>
        <v/>
      </c>
      <c r="F264" s="41" t="str">
        <f aca="false">IF(AND(A264&lt;&gt;"",D264&gt;0.005),ROUND(D264*RP,2),"")</f>
        <v/>
      </c>
      <c r="G264" s="41" t="str">
        <f aca="false">IF(AND(A264&lt;&gt;"",D264&gt;0.005),IF(A264&lt;=Grace,0,IF(A264=NPer,D264,IF(Method="Equal principal (reducing payments)",MIN(ROUND(EqPrin,2),D264),MIN(ROUND(Annuity-F264,2),D264)))),"")</f>
        <v/>
      </c>
      <c r="H264" s="41" t="str">
        <f aca="false">IF(AND(A264&lt;&gt;"",D264&gt;0.005),IF(A264&lt;=Grace,0,MIN(Extra,D264-G264)),"")</f>
        <v/>
      </c>
      <c r="I264" s="41" t="str">
        <f aca="false">IF(AND(A264&lt;&gt;"",D264&gt;0.005),MIN(SUMIF(LumpN,A264,LumpAmt),D264-G264-H264),"")</f>
        <v/>
      </c>
      <c r="J264" s="42" t="str">
        <f aca="false">IF(AND(A264&lt;&gt;"",D264&gt;0.005),E264+H264+I264,"")</f>
        <v/>
      </c>
      <c r="K264" s="42" t="str">
        <f aca="false">IF(AND(A264&lt;&gt;"",D264&gt;0.005),ROUND(D264-G264-H264-I264,2),"")</f>
        <v/>
      </c>
      <c r="L264" s="41" t="str">
        <f aca="false">IF(AND(A264&lt;&gt;"",D264&gt;0.005),L263+F264,"")</f>
        <v/>
      </c>
      <c r="M264" s="41" t="str">
        <f aca="false">IF(AND(A264&lt;&gt;"",D264&gt;0.005),M263+G264+H264+I264,"")</f>
        <v/>
      </c>
      <c r="N264" s="43" t="str">
        <f aca="false">IF(B264="","",YEAR(B264))</f>
        <v/>
      </c>
      <c r="O264" s="44" t="n">
        <f aca="false">IF(AND(A264&lt;&gt;"",D264&gt;0.005),J264,0)</f>
        <v>0</v>
      </c>
      <c r="P264" s="44" t="n">
        <f aca="false">R263</f>
        <v>0</v>
      </c>
      <c r="Q264" s="44" t="n">
        <f aca="false">IF(AND(P264&gt;0.005,257&lt;=NPer),ROUND(P264*RP,2),0)</f>
        <v>0</v>
      </c>
      <c r="R264" s="44" t="n">
        <f aca="false">IF(AND(P264&gt;0.005,257&lt;=NPer),ROUND(P264-IF(257&lt;=Grace,0,IF(257=NPer,P264,IF(Method="Equal principal (reducing payments)",MIN(ROUND(EqPrin,2),P264),MIN(ROUND(Annuity-Q264,2),P264)))),2),0)</f>
        <v>0</v>
      </c>
    </row>
    <row r="265" customFormat="false" ht="15" hidden="false" customHeight="false" outlineLevel="0" collapsed="false">
      <c r="A265" s="38" t="str">
        <f aca="false">IF(AND(N(K264)&gt;0.005,A264&lt;NPer),A264+1,"")</f>
        <v/>
      </c>
      <c r="B265" s="39" t="str">
        <f aca="false">IF(A265="","",EDATE(Disb,A265*MPP))</f>
        <v/>
      </c>
      <c r="C265" s="40" t="str">
        <f aca="false">IF(A265="","",IF(A265&lt;=Grace,"Grace","Repayment"))</f>
        <v/>
      </c>
      <c r="D265" s="41" t="str">
        <f aca="false">IF(A265="","",K264)</f>
        <v/>
      </c>
      <c r="E265" s="41" t="str">
        <f aca="false">IF(AND(A265&lt;&gt;"",D265&gt;0.005),F265+G265,"")</f>
        <v/>
      </c>
      <c r="F265" s="41" t="str">
        <f aca="false">IF(AND(A265&lt;&gt;"",D265&gt;0.005),ROUND(D265*RP,2),"")</f>
        <v/>
      </c>
      <c r="G265" s="41" t="str">
        <f aca="false">IF(AND(A265&lt;&gt;"",D265&gt;0.005),IF(A265&lt;=Grace,0,IF(A265=NPer,D265,IF(Method="Equal principal (reducing payments)",MIN(ROUND(EqPrin,2),D265),MIN(ROUND(Annuity-F265,2),D265)))),"")</f>
        <v/>
      </c>
      <c r="H265" s="41" t="str">
        <f aca="false">IF(AND(A265&lt;&gt;"",D265&gt;0.005),IF(A265&lt;=Grace,0,MIN(Extra,D265-G265)),"")</f>
        <v/>
      </c>
      <c r="I265" s="41" t="str">
        <f aca="false">IF(AND(A265&lt;&gt;"",D265&gt;0.005),MIN(SUMIF(LumpN,A265,LumpAmt),D265-G265-H265),"")</f>
        <v/>
      </c>
      <c r="J265" s="42" t="str">
        <f aca="false">IF(AND(A265&lt;&gt;"",D265&gt;0.005),E265+H265+I265,"")</f>
        <v/>
      </c>
      <c r="K265" s="42" t="str">
        <f aca="false">IF(AND(A265&lt;&gt;"",D265&gt;0.005),ROUND(D265-G265-H265-I265,2),"")</f>
        <v/>
      </c>
      <c r="L265" s="41" t="str">
        <f aca="false">IF(AND(A265&lt;&gt;"",D265&gt;0.005),L264+F265,"")</f>
        <v/>
      </c>
      <c r="M265" s="41" t="str">
        <f aca="false">IF(AND(A265&lt;&gt;"",D265&gt;0.005),M264+G265+H265+I265,"")</f>
        <v/>
      </c>
      <c r="N265" s="43" t="str">
        <f aca="false">IF(B265="","",YEAR(B265))</f>
        <v/>
      </c>
      <c r="O265" s="44" t="n">
        <f aca="false">IF(AND(A265&lt;&gt;"",D265&gt;0.005),J265,0)</f>
        <v>0</v>
      </c>
      <c r="P265" s="44" t="n">
        <f aca="false">R264</f>
        <v>0</v>
      </c>
      <c r="Q265" s="44" t="n">
        <f aca="false">IF(AND(P265&gt;0.005,258&lt;=NPer),ROUND(P265*RP,2),0)</f>
        <v>0</v>
      </c>
      <c r="R265" s="44" t="n">
        <f aca="false">IF(AND(P265&gt;0.005,258&lt;=NPer),ROUND(P265-IF(258&lt;=Grace,0,IF(258=NPer,P265,IF(Method="Equal principal (reducing payments)",MIN(ROUND(EqPrin,2),P265),MIN(ROUND(Annuity-Q265,2),P265)))),2),0)</f>
        <v>0</v>
      </c>
    </row>
    <row r="266" customFormat="false" ht="15" hidden="false" customHeight="false" outlineLevel="0" collapsed="false">
      <c r="A266" s="38" t="str">
        <f aca="false">IF(AND(N(K265)&gt;0.005,A265&lt;NPer),A265+1,"")</f>
        <v/>
      </c>
      <c r="B266" s="39" t="str">
        <f aca="false">IF(A266="","",EDATE(Disb,A266*MPP))</f>
        <v/>
      </c>
      <c r="C266" s="40" t="str">
        <f aca="false">IF(A266="","",IF(A266&lt;=Grace,"Grace","Repayment"))</f>
        <v/>
      </c>
      <c r="D266" s="41" t="str">
        <f aca="false">IF(A266="","",K265)</f>
        <v/>
      </c>
      <c r="E266" s="41" t="str">
        <f aca="false">IF(AND(A266&lt;&gt;"",D266&gt;0.005),F266+G266,"")</f>
        <v/>
      </c>
      <c r="F266" s="41" t="str">
        <f aca="false">IF(AND(A266&lt;&gt;"",D266&gt;0.005),ROUND(D266*RP,2),"")</f>
        <v/>
      </c>
      <c r="G266" s="41" t="str">
        <f aca="false">IF(AND(A266&lt;&gt;"",D266&gt;0.005),IF(A266&lt;=Grace,0,IF(A266=NPer,D266,IF(Method="Equal principal (reducing payments)",MIN(ROUND(EqPrin,2),D266),MIN(ROUND(Annuity-F266,2),D266)))),"")</f>
        <v/>
      </c>
      <c r="H266" s="41" t="str">
        <f aca="false">IF(AND(A266&lt;&gt;"",D266&gt;0.005),IF(A266&lt;=Grace,0,MIN(Extra,D266-G266)),"")</f>
        <v/>
      </c>
      <c r="I266" s="41" t="str">
        <f aca="false">IF(AND(A266&lt;&gt;"",D266&gt;0.005),MIN(SUMIF(LumpN,A266,LumpAmt),D266-G266-H266),"")</f>
        <v/>
      </c>
      <c r="J266" s="42" t="str">
        <f aca="false">IF(AND(A266&lt;&gt;"",D266&gt;0.005),E266+H266+I266,"")</f>
        <v/>
      </c>
      <c r="K266" s="42" t="str">
        <f aca="false">IF(AND(A266&lt;&gt;"",D266&gt;0.005),ROUND(D266-G266-H266-I266,2),"")</f>
        <v/>
      </c>
      <c r="L266" s="41" t="str">
        <f aca="false">IF(AND(A266&lt;&gt;"",D266&gt;0.005),L265+F266,"")</f>
        <v/>
      </c>
      <c r="M266" s="41" t="str">
        <f aca="false">IF(AND(A266&lt;&gt;"",D266&gt;0.005),M265+G266+H266+I266,"")</f>
        <v/>
      </c>
      <c r="N266" s="43" t="str">
        <f aca="false">IF(B266="","",YEAR(B266))</f>
        <v/>
      </c>
      <c r="O266" s="44" t="n">
        <f aca="false">IF(AND(A266&lt;&gt;"",D266&gt;0.005),J266,0)</f>
        <v>0</v>
      </c>
      <c r="P266" s="44" t="n">
        <f aca="false">R265</f>
        <v>0</v>
      </c>
      <c r="Q266" s="44" t="n">
        <f aca="false">IF(AND(P266&gt;0.005,259&lt;=NPer),ROUND(P266*RP,2),0)</f>
        <v>0</v>
      </c>
      <c r="R266" s="44" t="n">
        <f aca="false">IF(AND(P266&gt;0.005,259&lt;=NPer),ROUND(P266-IF(259&lt;=Grace,0,IF(259=NPer,P266,IF(Method="Equal principal (reducing payments)",MIN(ROUND(EqPrin,2),P266),MIN(ROUND(Annuity-Q266,2),P266)))),2),0)</f>
        <v>0</v>
      </c>
    </row>
    <row r="267" customFormat="false" ht="15" hidden="false" customHeight="false" outlineLevel="0" collapsed="false">
      <c r="A267" s="38" t="str">
        <f aca="false">IF(AND(N(K266)&gt;0.005,A266&lt;NPer),A266+1,"")</f>
        <v/>
      </c>
      <c r="B267" s="39" t="str">
        <f aca="false">IF(A267="","",EDATE(Disb,A267*MPP))</f>
        <v/>
      </c>
      <c r="C267" s="40" t="str">
        <f aca="false">IF(A267="","",IF(A267&lt;=Grace,"Grace","Repayment"))</f>
        <v/>
      </c>
      <c r="D267" s="41" t="str">
        <f aca="false">IF(A267="","",K266)</f>
        <v/>
      </c>
      <c r="E267" s="41" t="str">
        <f aca="false">IF(AND(A267&lt;&gt;"",D267&gt;0.005),F267+G267,"")</f>
        <v/>
      </c>
      <c r="F267" s="41" t="str">
        <f aca="false">IF(AND(A267&lt;&gt;"",D267&gt;0.005),ROUND(D267*RP,2),"")</f>
        <v/>
      </c>
      <c r="G267" s="41" t="str">
        <f aca="false">IF(AND(A267&lt;&gt;"",D267&gt;0.005),IF(A267&lt;=Grace,0,IF(A267=NPer,D267,IF(Method="Equal principal (reducing payments)",MIN(ROUND(EqPrin,2),D267),MIN(ROUND(Annuity-F267,2),D267)))),"")</f>
        <v/>
      </c>
      <c r="H267" s="41" t="str">
        <f aca="false">IF(AND(A267&lt;&gt;"",D267&gt;0.005),IF(A267&lt;=Grace,0,MIN(Extra,D267-G267)),"")</f>
        <v/>
      </c>
      <c r="I267" s="41" t="str">
        <f aca="false">IF(AND(A267&lt;&gt;"",D267&gt;0.005),MIN(SUMIF(LumpN,A267,LumpAmt),D267-G267-H267),"")</f>
        <v/>
      </c>
      <c r="J267" s="42" t="str">
        <f aca="false">IF(AND(A267&lt;&gt;"",D267&gt;0.005),E267+H267+I267,"")</f>
        <v/>
      </c>
      <c r="K267" s="42" t="str">
        <f aca="false">IF(AND(A267&lt;&gt;"",D267&gt;0.005),ROUND(D267-G267-H267-I267,2),"")</f>
        <v/>
      </c>
      <c r="L267" s="41" t="str">
        <f aca="false">IF(AND(A267&lt;&gt;"",D267&gt;0.005),L266+F267,"")</f>
        <v/>
      </c>
      <c r="M267" s="41" t="str">
        <f aca="false">IF(AND(A267&lt;&gt;"",D267&gt;0.005),M266+G267+H267+I267,"")</f>
        <v/>
      </c>
      <c r="N267" s="43" t="str">
        <f aca="false">IF(B267="","",YEAR(B267))</f>
        <v/>
      </c>
      <c r="O267" s="44" t="n">
        <f aca="false">IF(AND(A267&lt;&gt;"",D267&gt;0.005),J267,0)</f>
        <v>0</v>
      </c>
      <c r="P267" s="44" t="n">
        <f aca="false">R266</f>
        <v>0</v>
      </c>
      <c r="Q267" s="44" t="n">
        <f aca="false">IF(AND(P267&gt;0.005,260&lt;=NPer),ROUND(P267*RP,2),0)</f>
        <v>0</v>
      </c>
      <c r="R267" s="44" t="n">
        <f aca="false">IF(AND(P267&gt;0.005,260&lt;=NPer),ROUND(P267-IF(260&lt;=Grace,0,IF(260=NPer,P267,IF(Method="Equal principal (reducing payments)",MIN(ROUND(EqPrin,2),P267),MIN(ROUND(Annuity-Q267,2),P267)))),2),0)</f>
        <v>0</v>
      </c>
    </row>
    <row r="268" customFormat="false" ht="15" hidden="false" customHeight="false" outlineLevel="0" collapsed="false">
      <c r="A268" s="38" t="str">
        <f aca="false">IF(AND(N(K267)&gt;0.005,A267&lt;NPer),A267+1,"")</f>
        <v/>
      </c>
      <c r="B268" s="39" t="str">
        <f aca="false">IF(A268="","",EDATE(Disb,A268*MPP))</f>
        <v/>
      </c>
      <c r="C268" s="40" t="str">
        <f aca="false">IF(A268="","",IF(A268&lt;=Grace,"Grace","Repayment"))</f>
        <v/>
      </c>
      <c r="D268" s="41" t="str">
        <f aca="false">IF(A268="","",K267)</f>
        <v/>
      </c>
      <c r="E268" s="41" t="str">
        <f aca="false">IF(AND(A268&lt;&gt;"",D268&gt;0.005),F268+G268,"")</f>
        <v/>
      </c>
      <c r="F268" s="41" t="str">
        <f aca="false">IF(AND(A268&lt;&gt;"",D268&gt;0.005),ROUND(D268*RP,2),"")</f>
        <v/>
      </c>
      <c r="G268" s="41" t="str">
        <f aca="false">IF(AND(A268&lt;&gt;"",D268&gt;0.005),IF(A268&lt;=Grace,0,IF(A268=NPer,D268,IF(Method="Equal principal (reducing payments)",MIN(ROUND(EqPrin,2),D268),MIN(ROUND(Annuity-F268,2),D268)))),"")</f>
        <v/>
      </c>
      <c r="H268" s="41" t="str">
        <f aca="false">IF(AND(A268&lt;&gt;"",D268&gt;0.005),IF(A268&lt;=Grace,0,MIN(Extra,D268-G268)),"")</f>
        <v/>
      </c>
      <c r="I268" s="41" t="str">
        <f aca="false">IF(AND(A268&lt;&gt;"",D268&gt;0.005),MIN(SUMIF(LumpN,A268,LumpAmt),D268-G268-H268),"")</f>
        <v/>
      </c>
      <c r="J268" s="42" t="str">
        <f aca="false">IF(AND(A268&lt;&gt;"",D268&gt;0.005),E268+H268+I268,"")</f>
        <v/>
      </c>
      <c r="K268" s="42" t="str">
        <f aca="false">IF(AND(A268&lt;&gt;"",D268&gt;0.005),ROUND(D268-G268-H268-I268,2),"")</f>
        <v/>
      </c>
      <c r="L268" s="41" t="str">
        <f aca="false">IF(AND(A268&lt;&gt;"",D268&gt;0.005),L267+F268,"")</f>
        <v/>
      </c>
      <c r="M268" s="41" t="str">
        <f aca="false">IF(AND(A268&lt;&gt;"",D268&gt;0.005),M267+G268+H268+I268,"")</f>
        <v/>
      </c>
      <c r="N268" s="43" t="str">
        <f aca="false">IF(B268="","",YEAR(B268))</f>
        <v/>
      </c>
      <c r="O268" s="44" t="n">
        <f aca="false">IF(AND(A268&lt;&gt;"",D268&gt;0.005),J268,0)</f>
        <v>0</v>
      </c>
      <c r="P268" s="44" t="n">
        <f aca="false">R267</f>
        <v>0</v>
      </c>
      <c r="Q268" s="44" t="n">
        <f aca="false">IF(AND(P268&gt;0.005,261&lt;=NPer),ROUND(P268*RP,2),0)</f>
        <v>0</v>
      </c>
      <c r="R268" s="44" t="n">
        <f aca="false">IF(AND(P268&gt;0.005,261&lt;=NPer),ROUND(P268-IF(261&lt;=Grace,0,IF(261=NPer,P268,IF(Method="Equal principal (reducing payments)",MIN(ROUND(EqPrin,2),P268),MIN(ROUND(Annuity-Q268,2),P268)))),2),0)</f>
        <v>0</v>
      </c>
    </row>
    <row r="269" customFormat="false" ht="15" hidden="false" customHeight="false" outlineLevel="0" collapsed="false">
      <c r="A269" s="38" t="str">
        <f aca="false">IF(AND(N(K268)&gt;0.005,A268&lt;NPer),A268+1,"")</f>
        <v/>
      </c>
      <c r="B269" s="39" t="str">
        <f aca="false">IF(A269="","",EDATE(Disb,A269*MPP))</f>
        <v/>
      </c>
      <c r="C269" s="40" t="str">
        <f aca="false">IF(A269="","",IF(A269&lt;=Grace,"Grace","Repayment"))</f>
        <v/>
      </c>
      <c r="D269" s="41" t="str">
        <f aca="false">IF(A269="","",K268)</f>
        <v/>
      </c>
      <c r="E269" s="41" t="str">
        <f aca="false">IF(AND(A269&lt;&gt;"",D269&gt;0.005),F269+G269,"")</f>
        <v/>
      </c>
      <c r="F269" s="41" t="str">
        <f aca="false">IF(AND(A269&lt;&gt;"",D269&gt;0.005),ROUND(D269*RP,2),"")</f>
        <v/>
      </c>
      <c r="G269" s="41" t="str">
        <f aca="false">IF(AND(A269&lt;&gt;"",D269&gt;0.005),IF(A269&lt;=Grace,0,IF(A269=NPer,D269,IF(Method="Equal principal (reducing payments)",MIN(ROUND(EqPrin,2),D269),MIN(ROUND(Annuity-F269,2),D269)))),"")</f>
        <v/>
      </c>
      <c r="H269" s="41" t="str">
        <f aca="false">IF(AND(A269&lt;&gt;"",D269&gt;0.005),IF(A269&lt;=Grace,0,MIN(Extra,D269-G269)),"")</f>
        <v/>
      </c>
      <c r="I269" s="41" t="str">
        <f aca="false">IF(AND(A269&lt;&gt;"",D269&gt;0.005),MIN(SUMIF(LumpN,A269,LumpAmt),D269-G269-H269),"")</f>
        <v/>
      </c>
      <c r="J269" s="42" t="str">
        <f aca="false">IF(AND(A269&lt;&gt;"",D269&gt;0.005),E269+H269+I269,"")</f>
        <v/>
      </c>
      <c r="K269" s="42" t="str">
        <f aca="false">IF(AND(A269&lt;&gt;"",D269&gt;0.005),ROUND(D269-G269-H269-I269,2),"")</f>
        <v/>
      </c>
      <c r="L269" s="41" t="str">
        <f aca="false">IF(AND(A269&lt;&gt;"",D269&gt;0.005),L268+F269,"")</f>
        <v/>
      </c>
      <c r="M269" s="41" t="str">
        <f aca="false">IF(AND(A269&lt;&gt;"",D269&gt;0.005),M268+G269+H269+I269,"")</f>
        <v/>
      </c>
      <c r="N269" s="43" t="str">
        <f aca="false">IF(B269="","",YEAR(B269))</f>
        <v/>
      </c>
      <c r="O269" s="44" t="n">
        <f aca="false">IF(AND(A269&lt;&gt;"",D269&gt;0.005),J269,0)</f>
        <v>0</v>
      </c>
      <c r="P269" s="44" t="n">
        <f aca="false">R268</f>
        <v>0</v>
      </c>
      <c r="Q269" s="44" t="n">
        <f aca="false">IF(AND(P269&gt;0.005,262&lt;=NPer),ROUND(P269*RP,2),0)</f>
        <v>0</v>
      </c>
      <c r="R269" s="44" t="n">
        <f aca="false">IF(AND(P269&gt;0.005,262&lt;=NPer),ROUND(P269-IF(262&lt;=Grace,0,IF(262=NPer,P269,IF(Method="Equal principal (reducing payments)",MIN(ROUND(EqPrin,2),P269),MIN(ROUND(Annuity-Q269,2),P269)))),2),0)</f>
        <v>0</v>
      </c>
    </row>
    <row r="270" customFormat="false" ht="15" hidden="false" customHeight="false" outlineLevel="0" collapsed="false">
      <c r="A270" s="38" t="str">
        <f aca="false">IF(AND(N(K269)&gt;0.005,A269&lt;NPer),A269+1,"")</f>
        <v/>
      </c>
      <c r="B270" s="39" t="str">
        <f aca="false">IF(A270="","",EDATE(Disb,A270*MPP))</f>
        <v/>
      </c>
      <c r="C270" s="40" t="str">
        <f aca="false">IF(A270="","",IF(A270&lt;=Grace,"Grace","Repayment"))</f>
        <v/>
      </c>
      <c r="D270" s="41" t="str">
        <f aca="false">IF(A270="","",K269)</f>
        <v/>
      </c>
      <c r="E270" s="41" t="str">
        <f aca="false">IF(AND(A270&lt;&gt;"",D270&gt;0.005),F270+G270,"")</f>
        <v/>
      </c>
      <c r="F270" s="41" t="str">
        <f aca="false">IF(AND(A270&lt;&gt;"",D270&gt;0.005),ROUND(D270*RP,2),"")</f>
        <v/>
      </c>
      <c r="G270" s="41" t="str">
        <f aca="false">IF(AND(A270&lt;&gt;"",D270&gt;0.005),IF(A270&lt;=Grace,0,IF(A270=NPer,D270,IF(Method="Equal principal (reducing payments)",MIN(ROUND(EqPrin,2),D270),MIN(ROUND(Annuity-F270,2),D270)))),"")</f>
        <v/>
      </c>
      <c r="H270" s="41" t="str">
        <f aca="false">IF(AND(A270&lt;&gt;"",D270&gt;0.005),IF(A270&lt;=Grace,0,MIN(Extra,D270-G270)),"")</f>
        <v/>
      </c>
      <c r="I270" s="41" t="str">
        <f aca="false">IF(AND(A270&lt;&gt;"",D270&gt;0.005),MIN(SUMIF(LumpN,A270,LumpAmt),D270-G270-H270),"")</f>
        <v/>
      </c>
      <c r="J270" s="42" t="str">
        <f aca="false">IF(AND(A270&lt;&gt;"",D270&gt;0.005),E270+H270+I270,"")</f>
        <v/>
      </c>
      <c r="K270" s="42" t="str">
        <f aca="false">IF(AND(A270&lt;&gt;"",D270&gt;0.005),ROUND(D270-G270-H270-I270,2),"")</f>
        <v/>
      </c>
      <c r="L270" s="41" t="str">
        <f aca="false">IF(AND(A270&lt;&gt;"",D270&gt;0.005),L269+F270,"")</f>
        <v/>
      </c>
      <c r="M270" s="41" t="str">
        <f aca="false">IF(AND(A270&lt;&gt;"",D270&gt;0.005),M269+G270+H270+I270,"")</f>
        <v/>
      </c>
      <c r="N270" s="43" t="str">
        <f aca="false">IF(B270="","",YEAR(B270))</f>
        <v/>
      </c>
      <c r="O270" s="44" t="n">
        <f aca="false">IF(AND(A270&lt;&gt;"",D270&gt;0.005),J270,0)</f>
        <v>0</v>
      </c>
      <c r="P270" s="44" t="n">
        <f aca="false">R269</f>
        <v>0</v>
      </c>
      <c r="Q270" s="44" t="n">
        <f aca="false">IF(AND(P270&gt;0.005,263&lt;=NPer),ROUND(P270*RP,2),0)</f>
        <v>0</v>
      </c>
      <c r="R270" s="44" t="n">
        <f aca="false">IF(AND(P270&gt;0.005,263&lt;=NPer),ROUND(P270-IF(263&lt;=Grace,0,IF(263=NPer,P270,IF(Method="Equal principal (reducing payments)",MIN(ROUND(EqPrin,2),P270),MIN(ROUND(Annuity-Q270,2),P270)))),2),0)</f>
        <v>0</v>
      </c>
    </row>
    <row r="271" customFormat="false" ht="15" hidden="false" customHeight="false" outlineLevel="0" collapsed="false">
      <c r="A271" s="38" t="str">
        <f aca="false">IF(AND(N(K270)&gt;0.005,A270&lt;NPer),A270+1,"")</f>
        <v/>
      </c>
      <c r="B271" s="39" t="str">
        <f aca="false">IF(A271="","",EDATE(Disb,A271*MPP))</f>
        <v/>
      </c>
      <c r="C271" s="40" t="str">
        <f aca="false">IF(A271="","",IF(A271&lt;=Grace,"Grace","Repayment"))</f>
        <v/>
      </c>
      <c r="D271" s="41" t="str">
        <f aca="false">IF(A271="","",K270)</f>
        <v/>
      </c>
      <c r="E271" s="41" t="str">
        <f aca="false">IF(AND(A271&lt;&gt;"",D271&gt;0.005),F271+G271,"")</f>
        <v/>
      </c>
      <c r="F271" s="41" t="str">
        <f aca="false">IF(AND(A271&lt;&gt;"",D271&gt;0.005),ROUND(D271*RP,2),"")</f>
        <v/>
      </c>
      <c r="G271" s="41" t="str">
        <f aca="false">IF(AND(A271&lt;&gt;"",D271&gt;0.005),IF(A271&lt;=Grace,0,IF(A271=NPer,D271,IF(Method="Equal principal (reducing payments)",MIN(ROUND(EqPrin,2),D271),MIN(ROUND(Annuity-F271,2),D271)))),"")</f>
        <v/>
      </c>
      <c r="H271" s="41" t="str">
        <f aca="false">IF(AND(A271&lt;&gt;"",D271&gt;0.005),IF(A271&lt;=Grace,0,MIN(Extra,D271-G271)),"")</f>
        <v/>
      </c>
      <c r="I271" s="41" t="str">
        <f aca="false">IF(AND(A271&lt;&gt;"",D271&gt;0.005),MIN(SUMIF(LumpN,A271,LumpAmt),D271-G271-H271),"")</f>
        <v/>
      </c>
      <c r="J271" s="42" t="str">
        <f aca="false">IF(AND(A271&lt;&gt;"",D271&gt;0.005),E271+H271+I271,"")</f>
        <v/>
      </c>
      <c r="K271" s="42" t="str">
        <f aca="false">IF(AND(A271&lt;&gt;"",D271&gt;0.005),ROUND(D271-G271-H271-I271,2),"")</f>
        <v/>
      </c>
      <c r="L271" s="41" t="str">
        <f aca="false">IF(AND(A271&lt;&gt;"",D271&gt;0.005),L270+F271,"")</f>
        <v/>
      </c>
      <c r="M271" s="41" t="str">
        <f aca="false">IF(AND(A271&lt;&gt;"",D271&gt;0.005),M270+G271+H271+I271,"")</f>
        <v/>
      </c>
      <c r="N271" s="43" t="str">
        <f aca="false">IF(B271="","",YEAR(B271))</f>
        <v/>
      </c>
      <c r="O271" s="44" t="n">
        <f aca="false">IF(AND(A271&lt;&gt;"",D271&gt;0.005),J271,0)</f>
        <v>0</v>
      </c>
      <c r="P271" s="44" t="n">
        <f aca="false">R270</f>
        <v>0</v>
      </c>
      <c r="Q271" s="44" t="n">
        <f aca="false">IF(AND(P271&gt;0.005,264&lt;=NPer),ROUND(P271*RP,2),0)</f>
        <v>0</v>
      </c>
      <c r="R271" s="44" t="n">
        <f aca="false">IF(AND(P271&gt;0.005,264&lt;=NPer),ROUND(P271-IF(264&lt;=Grace,0,IF(264=NPer,P271,IF(Method="Equal principal (reducing payments)",MIN(ROUND(EqPrin,2),P271),MIN(ROUND(Annuity-Q271,2),P271)))),2),0)</f>
        <v>0</v>
      </c>
    </row>
    <row r="272" customFormat="false" ht="15" hidden="false" customHeight="false" outlineLevel="0" collapsed="false">
      <c r="A272" s="38" t="str">
        <f aca="false">IF(AND(N(K271)&gt;0.005,A271&lt;NPer),A271+1,"")</f>
        <v/>
      </c>
      <c r="B272" s="39" t="str">
        <f aca="false">IF(A272="","",EDATE(Disb,A272*MPP))</f>
        <v/>
      </c>
      <c r="C272" s="40" t="str">
        <f aca="false">IF(A272="","",IF(A272&lt;=Grace,"Grace","Repayment"))</f>
        <v/>
      </c>
      <c r="D272" s="41" t="str">
        <f aca="false">IF(A272="","",K271)</f>
        <v/>
      </c>
      <c r="E272" s="41" t="str">
        <f aca="false">IF(AND(A272&lt;&gt;"",D272&gt;0.005),F272+G272,"")</f>
        <v/>
      </c>
      <c r="F272" s="41" t="str">
        <f aca="false">IF(AND(A272&lt;&gt;"",D272&gt;0.005),ROUND(D272*RP,2),"")</f>
        <v/>
      </c>
      <c r="G272" s="41" t="str">
        <f aca="false">IF(AND(A272&lt;&gt;"",D272&gt;0.005),IF(A272&lt;=Grace,0,IF(A272=NPer,D272,IF(Method="Equal principal (reducing payments)",MIN(ROUND(EqPrin,2),D272),MIN(ROUND(Annuity-F272,2),D272)))),"")</f>
        <v/>
      </c>
      <c r="H272" s="41" t="str">
        <f aca="false">IF(AND(A272&lt;&gt;"",D272&gt;0.005),IF(A272&lt;=Grace,0,MIN(Extra,D272-G272)),"")</f>
        <v/>
      </c>
      <c r="I272" s="41" t="str">
        <f aca="false">IF(AND(A272&lt;&gt;"",D272&gt;0.005),MIN(SUMIF(LumpN,A272,LumpAmt),D272-G272-H272),"")</f>
        <v/>
      </c>
      <c r="J272" s="42" t="str">
        <f aca="false">IF(AND(A272&lt;&gt;"",D272&gt;0.005),E272+H272+I272,"")</f>
        <v/>
      </c>
      <c r="K272" s="42" t="str">
        <f aca="false">IF(AND(A272&lt;&gt;"",D272&gt;0.005),ROUND(D272-G272-H272-I272,2),"")</f>
        <v/>
      </c>
      <c r="L272" s="41" t="str">
        <f aca="false">IF(AND(A272&lt;&gt;"",D272&gt;0.005),L271+F272,"")</f>
        <v/>
      </c>
      <c r="M272" s="41" t="str">
        <f aca="false">IF(AND(A272&lt;&gt;"",D272&gt;0.005),M271+G272+H272+I272,"")</f>
        <v/>
      </c>
      <c r="N272" s="43" t="str">
        <f aca="false">IF(B272="","",YEAR(B272))</f>
        <v/>
      </c>
      <c r="O272" s="44" t="n">
        <f aca="false">IF(AND(A272&lt;&gt;"",D272&gt;0.005),J272,0)</f>
        <v>0</v>
      </c>
      <c r="P272" s="44" t="n">
        <f aca="false">R271</f>
        <v>0</v>
      </c>
      <c r="Q272" s="44" t="n">
        <f aca="false">IF(AND(P272&gt;0.005,265&lt;=NPer),ROUND(P272*RP,2),0)</f>
        <v>0</v>
      </c>
      <c r="R272" s="44" t="n">
        <f aca="false">IF(AND(P272&gt;0.005,265&lt;=NPer),ROUND(P272-IF(265&lt;=Grace,0,IF(265=NPer,P272,IF(Method="Equal principal (reducing payments)",MIN(ROUND(EqPrin,2),P272),MIN(ROUND(Annuity-Q272,2),P272)))),2),0)</f>
        <v>0</v>
      </c>
    </row>
    <row r="273" customFormat="false" ht="15" hidden="false" customHeight="false" outlineLevel="0" collapsed="false">
      <c r="A273" s="38" t="str">
        <f aca="false">IF(AND(N(K272)&gt;0.005,A272&lt;NPer),A272+1,"")</f>
        <v/>
      </c>
      <c r="B273" s="39" t="str">
        <f aca="false">IF(A273="","",EDATE(Disb,A273*MPP))</f>
        <v/>
      </c>
      <c r="C273" s="40" t="str">
        <f aca="false">IF(A273="","",IF(A273&lt;=Grace,"Grace","Repayment"))</f>
        <v/>
      </c>
      <c r="D273" s="41" t="str">
        <f aca="false">IF(A273="","",K272)</f>
        <v/>
      </c>
      <c r="E273" s="41" t="str">
        <f aca="false">IF(AND(A273&lt;&gt;"",D273&gt;0.005),F273+G273,"")</f>
        <v/>
      </c>
      <c r="F273" s="41" t="str">
        <f aca="false">IF(AND(A273&lt;&gt;"",D273&gt;0.005),ROUND(D273*RP,2),"")</f>
        <v/>
      </c>
      <c r="G273" s="41" t="str">
        <f aca="false">IF(AND(A273&lt;&gt;"",D273&gt;0.005),IF(A273&lt;=Grace,0,IF(A273=NPer,D273,IF(Method="Equal principal (reducing payments)",MIN(ROUND(EqPrin,2),D273),MIN(ROUND(Annuity-F273,2),D273)))),"")</f>
        <v/>
      </c>
      <c r="H273" s="41" t="str">
        <f aca="false">IF(AND(A273&lt;&gt;"",D273&gt;0.005),IF(A273&lt;=Grace,0,MIN(Extra,D273-G273)),"")</f>
        <v/>
      </c>
      <c r="I273" s="41" t="str">
        <f aca="false">IF(AND(A273&lt;&gt;"",D273&gt;0.005),MIN(SUMIF(LumpN,A273,LumpAmt),D273-G273-H273),"")</f>
        <v/>
      </c>
      <c r="J273" s="42" t="str">
        <f aca="false">IF(AND(A273&lt;&gt;"",D273&gt;0.005),E273+H273+I273,"")</f>
        <v/>
      </c>
      <c r="K273" s="42" t="str">
        <f aca="false">IF(AND(A273&lt;&gt;"",D273&gt;0.005),ROUND(D273-G273-H273-I273,2),"")</f>
        <v/>
      </c>
      <c r="L273" s="41" t="str">
        <f aca="false">IF(AND(A273&lt;&gt;"",D273&gt;0.005),L272+F273,"")</f>
        <v/>
      </c>
      <c r="M273" s="41" t="str">
        <f aca="false">IF(AND(A273&lt;&gt;"",D273&gt;0.005),M272+G273+H273+I273,"")</f>
        <v/>
      </c>
      <c r="N273" s="43" t="str">
        <f aca="false">IF(B273="","",YEAR(B273))</f>
        <v/>
      </c>
      <c r="O273" s="44" t="n">
        <f aca="false">IF(AND(A273&lt;&gt;"",D273&gt;0.005),J273,0)</f>
        <v>0</v>
      </c>
      <c r="P273" s="44" t="n">
        <f aca="false">R272</f>
        <v>0</v>
      </c>
      <c r="Q273" s="44" t="n">
        <f aca="false">IF(AND(P273&gt;0.005,266&lt;=NPer),ROUND(P273*RP,2),0)</f>
        <v>0</v>
      </c>
      <c r="R273" s="44" t="n">
        <f aca="false">IF(AND(P273&gt;0.005,266&lt;=NPer),ROUND(P273-IF(266&lt;=Grace,0,IF(266=NPer,P273,IF(Method="Equal principal (reducing payments)",MIN(ROUND(EqPrin,2),P273),MIN(ROUND(Annuity-Q273,2),P273)))),2),0)</f>
        <v>0</v>
      </c>
    </row>
    <row r="274" customFormat="false" ht="15" hidden="false" customHeight="false" outlineLevel="0" collapsed="false">
      <c r="A274" s="38" t="str">
        <f aca="false">IF(AND(N(K273)&gt;0.005,A273&lt;NPer),A273+1,"")</f>
        <v/>
      </c>
      <c r="B274" s="39" t="str">
        <f aca="false">IF(A274="","",EDATE(Disb,A274*MPP))</f>
        <v/>
      </c>
      <c r="C274" s="40" t="str">
        <f aca="false">IF(A274="","",IF(A274&lt;=Grace,"Grace","Repayment"))</f>
        <v/>
      </c>
      <c r="D274" s="41" t="str">
        <f aca="false">IF(A274="","",K273)</f>
        <v/>
      </c>
      <c r="E274" s="41" t="str">
        <f aca="false">IF(AND(A274&lt;&gt;"",D274&gt;0.005),F274+G274,"")</f>
        <v/>
      </c>
      <c r="F274" s="41" t="str">
        <f aca="false">IF(AND(A274&lt;&gt;"",D274&gt;0.005),ROUND(D274*RP,2),"")</f>
        <v/>
      </c>
      <c r="G274" s="41" t="str">
        <f aca="false">IF(AND(A274&lt;&gt;"",D274&gt;0.005),IF(A274&lt;=Grace,0,IF(A274=NPer,D274,IF(Method="Equal principal (reducing payments)",MIN(ROUND(EqPrin,2),D274),MIN(ROUND(Annuity-F274,2),D274)))),"")</f>
        <v/>
      </c>
      <c r="H274" s="41" t="str">
        <f aca="false">IF(AND(A274&lt;&gt;"",D274&gt;0.005),IF(A274&lt;=Grace,0,MIN(Extra,D274-G274)),"")</f>
        <v/>
      </c>
      <c r="I274" s="41" t="str">
        <f aca="false">IF(AND(A274&lt;&gt;"",D274&gt;0.005),MIN(SUMIF(LumpN,A274,LumpAmt),D274-G274-H274),"")</f>
        <v/>
      </c>
      <c r="J274" s="42" t="str">
        <f aca="false">IF(AND(A274&lt;&gt;"",D274&gt;0.005),E274+H274+I274,"")</f>
        <v/>
      </c>
      <c r="K274" s="42" t="str">
        <f aca="false">IF(AND(A274&lt;&gt;"",D274&gt;0.005),ROUND(D274-G274-H274-I274,2),"")</f>
        <v/>
      </c>
      <c r="L274" s="41" t="str">
        <f aca="false">IF(AND(A274&lt;&gt;"",D274&gt;0.005),L273+F274,"")</f>
        <v/>
      </c>
      <c r="M274" s="41" t="str">
        <f aca="false">IF(AND(A274&lt;&gt;"",D274&gt;0.005),M273+G274+H274+I274,"")</f>
        <v/>
      </c>
      <c r="N274" s="43" t="str">
        <f aca="false">IF(B274="","",YEAR(B274))</f>
        <v/>
      </c>
      <c r="O274" s="44" t="n">
        <f aca="false">IF(AND(A274&lt;&gt;"",D274&gt;0.005),J274,0)</f>
        <v>0</v>
      </c>
      <c r="P274" s="44" t="n">
        <f aca="false">R273</f>
        <v>0</v>
      </c>
      <c r="Q274" s="44" t="n">
        <f aca="false">IF(AND(P274&gt;0.005,267&lt;=NPer),ROUND(P274*RP,2),0)</f>
        <v>0</v>
      </c>
      <c r="R274" s="44" t="n">
        <f aca="false">IF(AND(P274&gt;0.005,267&lt;=NPer),ROUND(P274-IF(267&lt;=Grace,0,IF(267=NPer,P274,IF(Method="Equal principal (reducing payments)",MIN(ROUND(EqPrin,2),P274),MIN(ROUND(Annuity-Q274,2),P274)))),2),0)</f>
        <v>0</v>
      </c>
    </row>
    <row r="275" customFormat="false" ht="15" hidden="false" customHeight="false" outlineLevel="0" collapsed="false">
      <c r="A275" s="38" t="str">
        <f aca="false">IF(AND(N(K274)&gt;0.005,A274&lt;NPer),A274+1,"")</f>
        <v/>
      </c>
      <c r="B275" s="39" t="str">
        <f aca="false">IF(A275="","",EDATE(Disb,A275*MPP))</f>
        <v/>
      </c>
      <c r="C275" s="40" t="str">
        <f aca="false">IF(A275="","",IF(A275&lt;=Grace,"Grace","Repayment"))</f>
        <v/>
      </c>
      <c r="D275" s="41" t="str">
        <f aca="false">IF(A275="","",K274)</f>
        <v/>
      </c>
      <c r="E275" s="41" t="str">
        <f aca="false">IF(AND(A275&lt;&gt;"",D275&gt;0.005),F275+G275,"")</f>
        <v/>
      </c>
      <c r="F275" s="41" t="str">
        <f aca="false">IF(AND(A275&lt;&gt;"",D275&gt;0.005),ROUND(D275*RP,2),"")</f>
        <v/>
      </c>
      <c r="G275" s="41" t="str">
        <f aca="false">IF(AND(A275&lt;&gt;"",D275&gt;0.005),IF(A275&lt;=Grace,0,IF(A275=NPer,D275,IF(Method="Equal principal (reducing payments)",MIN(ROUND(EqPrin,2),D275),MIN(ROUND(Annuity-F275,2),D275)))),"")</f>
        <v/>
      </c>
      <c r="H275" s="41" t="str">
        <f aca="false">IF(AND(A275&lt;&gt;"",D275&gt;0.005),IF(A275&lt;=Grace,0,MIN(Extra,D275-G275)),"")</f>
        <v/>
      </c>
      <c r="I275" s="41" t="str">
        <f aca="false">IF(AND(A275&lt;&gt;"",D275&gt;0.005),MIN(SUMIF(LumpN,A275,LumpAmt),D275-G275-H275),"")</f>
        <v/>
      </c>
      <c r="J275" s="42" t="str">
        <f aca="false">IF(AND(A275&lt;&gt;"",D275&gt;0.005),E275+H275+I275,"")</f>
        <v/>
      </c>
      <c r="K275" s="42" t="str">
        <f aca="false">IF(AND(A275&lt;&gt;"",D275&gt;0.005),ROUND(D275-G275-H275-I275,2),"")</f>
        <v/>
      </c>
      <c r="L275" s="41" t="str">
        <f aca="false">IF(AND(A275&lt;&gt;"",D275&gt;0.005),L274+F275,"")</f>
        <v/>
      </c>
      <c r="M275" s="41" t="str">
        <f aca="false">IF(AND(A275&lt;&gt;"",D275&gt;0.005),M274+G275+H275+I275,"")</f>
        <v/>
      </c>
      <c r="N275" s="43" t="str">
        <f aca="false">IF(B275="","",YEAR(B275))</f>
        <v/>
      </c>
      <c r="O275" s="44" t="n">
        <f aca="false">IF(AND(A275&lt;&gt;"",D275&gt;0.005),J275,0)</f>
        <v>0</v>
      </c>
      <c r="P275" s="44" t="n">
        <f aca="false">R274</f>
        <v>0</v>
      </c>
      <c r="Q275" s="44" t="n">
        <f aca="false">IF(AND(P275&gt;0.005,268&lt;=NPer),ROUND(P275*RP,2),0)</f>
        <v>0</v>
      </c>
      <c r="R275" s="44" t="n">
        <f aca="false">IF(AND(P275&gt;0.005,268&lt;=NPer),ROUND(P275-IF(268&lt;=Grace,0,IF(268=NPer,P275,IF(Method="Equal principal (reducing payments)",MIN(ROUND(EqPrin,2),P275),MIN(ROUND(Annuity-Q275,2),P275)))),2),0)</f>
        <v>0</v>
      </c>
    </row>
    <row r="276" customFormat="false" ht="15" hidden="false" customHeight="false" outlineLevel="0" collapsed="false">
      <c r="A276" s="38" t="str">
        <f aca="false">IF(AND(N(K275)&gt;0.005,A275&lt;NPer),A275+1,"")</f>
        <v/>
      </c>
      <c r="B276" s="39" t="str">
        <f aca="false">IF(A276="","",EDATE(Disb,A276*MPP))</f>
        <v/>
      </c>
      <c r="C276" s="40" t="str">
        <f aca="false">IF(A276="","",IF(A276&lt;=Grace,"Grace","Repayment"))</f>
        <v/>
      </c>
      <c r="D276" s="41" t="str">
        <f aca="false">IF(A276="","",K275)</f>
        <v/>
      </c>
      <c r="E276" s="41" t="str">
        <f aca="false">IF(AND(A276&lt;&gt;"",D276&gt;0.005),F276+G276,"")</f>
        <v/>
      </c>
      <c r="F276" s="41" t="str">
        <f aca="false">IF(AND(A276&lt;&gt;"",D276&gt;0.005),ROUND(D276*RP,2),"")</f>
        <v/>
      </c>
      <c r="G276" s="41" t="str">
        <f aca="false">IF(AND(A276&lt;&gt;"",D276&gt;0.005),IF(A276&lt;=Grace,0,IF(A276=NPer,D276,IF(Method="Equal principal (reducing payments)",MIN(ROUND(EqPrin,2),D276),MIN(ROUND(Annuity-F276,2),D276)))),"")</f>
        <v/>
      </c>
      <c r="H276" s="41" t="str">
        <f aca="false">IF(AND(A276&lt;&gt;"",D276&gt;0.005),IF(A276&lt;=Grace,0,MIN(Extra,D276-G276)),"")</f>
        <v/>
      </c>
      <c r="I276" s="41" t="str">
        <f aca="false">IF(AND(A276&lt;&gt;"",D276&gt;0.005),MIN(SUMIF(LumpN,A276,LumpAmt),D276-G276-H276),"")</f>
        <v/>
      </c>
      <c r="J276" s="42" t="str">
        <f aca="false">IF(AND(A276&lt;&gt;"",D276&gt;0.005),E276+H276+I276,"")</f>
        <v/>
      </c>
      <c r="K276" s="42" t="str">
        <f aca="false">IF(AND(A276&lt;&gt;"",D276&gt;0.005),ROUND(D276-G276-H276-I276,2),"")</f>
        <v/>
      </c>
      <c r="L276" s="41" t="str">
        <f aca="false">IF(AND(A276&lt;&gt;"",D276&gt;0.005),L275+F276,"")</f>
        <v/>
      </c>
      <c r="M276" s="41" t="str">
        <f aca="false">IF(AND(A276&lt;&gt;"",D276&gt;0.005),M275+G276+H276+I276,"")</f>
        <v/>
      </c>
      <c r="N276" s="43" t="str">
        <f aca="false">IF(B276="","",YEAR(B276))</f>
        <v/>
      </c>
      <c r="O276" s="44" t="n">
        <f aca="false">IF(AND(A276&lt;&gt;"",D276&gt;0.005),J276,0)</f>
        <v>0</v>
      </c>
      <c r="P276" s="44" t="n">
        <f aca="false">R275</f>
        <v>0</v>
      </c>
      <c r="Q276" s="44" t="n">
        <f aca="false">IF(AND(P276&gt;0.005,269&lt;=NPer),ROUND(P276*RP,2),0)</f>
        <v>0</v>
      </c>
      <c r="R276" s="44" t="n">
        <f aca="false">IF(AND(P276&gt;0.005,269&lt;=NPer),ROUND(P276-IF(269&lt;=Grace,0,IF(269=NPer,P276,IF(Method="Equal principal (reducing payments)",MIN(ROUND(EqPrin,2),P276),MIN(ROUND(Annuity-Q276,2),P276)))),2),0)</f>
        <v>0</v>
      </c>
    </row>
    <row r="277" customFormat="false" ht="15" hidden="false" customHeight="false" outlineLevel="0" collapsed="false">
      <c r="A277" s="38" t="str">
        <f aca="false">IF(AND(N(K276)&gt;0.005,A276&lt;NPer),A276+1,"")</f>
        <v/>
      </c>
      <c r="B277" s="39" t="str">
        <f aca="false">IF(A277="","",EDATE(Disb,A277*MPP))</f>
        <v/>
      </c>
      <c r="C277" s="40" t="str">
        <f aca="false">IF(A277="","",IF(A277&lt;=Grace,"Grace","Repayment"))</f>
        <v/>
      </c>
      <c r="D277" s="41" t="str">
        <f aca="false">IF(A277="","",K276)</f>
        <v/>
      </c>
      <c r="E277" s="41" t="str">
        <f aca="false">IF(AND(A277&lt;&gt;"",D277&gt;0.005),F277+G277,"")</f>
        <v/>
      </c>
      <c r="F277" s="41" t="str">
        <f aca="false">IF(AND(A277&lt;&gt;"",D277&gt;0.005),ROUND(D277*RP,2),"")</f>
        <v/>
      </c>
      <c r="G277" s="41" t="str">
        <f aca="false">IF(AND(A277&lt;&gt;"",D277&gt;0.005),IF(A277&lt;=Grace,0,IF(A277=NPer,D277,IF(Method="Equal principal (reducing payments)",MIN(ROUND(EqPrin,2),D277),MIN(ROUND(Annuity-F277,2),D277)))),"")</f>
        <v/>
      </c>
      <c r="H277" s="41" t="str">
        <f aca="false">IF(AND(A277&lt;&gt;"",D277&gt;0.005),IF(A277&lt;=Grace,0,MIN(Extra,D277-G277)),"")</f>
        <v/>
      </c>
      <c r="I277" s="41" t="str">
        <f aca="false">IF(AND(A277&lt;&gt;"",D277&gt;0.005),MIN(SUMIF(LumpN,A277,LumpAmt),D277-G277-H277),"")</f>
        <v/>
      </c>
      <c r="J277" s="42" t="str">
        <f aca="false">IF(AND(A277&lt;&gt;"",D277&gt;0.005),E277+H277+I277,"")</f>
        <v/>
      </c>
      <c r="K277" s="42" t="str">
        <f aca="false">IF(AND(A277&lt;&gt;"",D277&gt;0.005),ROUND(D277-G277-H277-I277,2),"")</f>
        <v/>
      </c>
      <c r="L277" s="41" t="str">
        <f aca="false">IF(AND(A277&lt;&gt;"",D277&gt;0.005),L276+F277,"")</f>
        <v/>
      </c>
      <c r="M277" s="41" t="str">
        <f aca="false">IF(AND(A277&lt;&gt;"",D277&gt;0.005),M276+G277+H277+I277,"")</f>
        <v/>
      </c>
      <c r="N277" s="43" t="str">
        <f aca="false">IF(B277="","",YEAR(B277))</f>
        <v/>
      </c>
      <c r="O277" s="44" t="n">
        <f aca="false">IF(AND(A277&lt;&gt;"",D277&gt;0.005),J277,0)</f>
        <v>0</v>
      </c>
      <c r="P277" s="44" t="n">
        <f aca="false">R276</f>
        <v>0</v>
      </c>
      <c r="Q277" s="44" t="n">
        <f aca="false">IF(AND(P277&gt;0.005,270&lt;=NPer),ROUND(P277*RP,2),0)</f>
        <v>0</v>
      </c>
      <c r="R277" s="44" t="n">
        <f aca="false">IF(AND(P277&gt;0.005,270&lt;=NPer),ROUND(P277-IF(270&lt;=Grace,0,IF(270=NPer,P277,IF(Method="Equal principal (reducing payments)",MIN(ROUND(EqPrin,2),P277),MIN(ROUND(Annuity-Q277,2),P277)))),2),0)</f>
        <v>0</v>
      </c>
    </row>
    <row r="278" customFormat="false" ht="15" hidden="false" customHeight="false" outlineLevel="0" collapsed="false">
      <c r="A278" s="38" t="str">
        <f aca="false">IF(AND(N(K277)&gt;0.005,A277&lt;NPer),A277+1,"")</f>
        <v/>
      </c>
      <c r="B278" s="39" t="str">
        <f aca="false">IF(A278="","",EDATE(Disb,A278*MPP))</f>
        <v/>
      </c>
      <c r="C278" s="40" t="str">
        <f aca="false">IF(A278="","",IF(A278&lt;=Grace,"Grace","Repayment"))</f>
        <v/>
      </c>
      <c r="D278" s="41" t="str">
        <f aca="false">IF(A278="","",K277)</f>
        <v/>
      </c>
      <c r="E278" s="41" t="str">
        <f aca="false">IF(AND(A278&lt;&gt;"",D278&gt;0.005),F278+G278,"")</f>
        <v/>
      </c>
      <c r="F278" s="41" t="str">
        <f aca="false">IF(AND(A278&lt;&gt;"",D278&gt;0.005),ROUND(D278*RP,2),"")</f>
        <v/>
      </c>
      <c r="G278" s="41" t="str">
        <f aca="false">IF(AND(A278&lt;&gt;"",D278&gt;0.005),IF(A278&lt;=Grace,0,IF(A278=NPer,D278,IF(Method="Equal principal (reducing payments)",MIN(ROUND(EqPrin,2),D278),MIN(ROUND(Annuity-F278,2),D278)))),"")</f>
        <v/>
      </c>
      <c r="H278" s="41" t="str">
        <f aca="false">IF(AND(A278&lt;&gt;"",D278&gt;0.005),IF(A278&lt;=Grace,0,MIN(Extra,D278-G278)),"")</f>
        <v/>
      </c>
      <c r="I278" s="41" t="str">
        <f aca="false">IF(AND(A278&lt;&gt;"",D278&gt;0.005),MIN(SUMIF(LumpN,A278,LumpAmt),D278-G278-H278),"")</f>
        <v/>
      </c>
      <c r="J278" s="42" t="str">
        <f aca="false">IF(AND(A278&lt;&gt;"",D278&gt;0.005),E278+H278+I278,"")</f>
        <v/>
      </c>
      <c r="K278" s="42" t="str">
        <f aca="false">IF(AND(A278&lt;&gt;"",D278&gt;0.005),ROUND(D278-G278-H278-I278,2),"")</f>
        <v/>
      </c>
      <c r="L278" s="41" t="str">
        <f aca="false">IF(AND(A278&lt;&gt;"",D278&gt;0.005),L277+F278,"")</f>
        <v/>
      </c>
      <c r="M278" s="41" t="str">
        <f aca="false">IF(AND(A278&lt;&gt;"",D278&gt;0.005),M277+G278+H278+I278,"")</f>
        <v/>
      </c>
      <c r="N278" s="43" t="str">
        <f aca="false">IF(B278="","",YEAR(B278))</f>
        <v/>
      </c>
      <c r="O278" s="44" t="n">
        <f aca="false">IF(AND(A278&lt;&gt;"",D278&gt;0.005),J278,0)</f>
        <v>0</v>
      </c>
      <c r="P278" s="44" t="n">
        <f aca="false">R277</f>
        <v>0</v>
      </c>
      <c r="Q278" s="44" t="n">
        <f aca="false">IF(AND(P278&gt;0.005,271&lt;=NPer),ROUND(P278*RP,2),0)</f>
        <v>0</v>
      </c>
      <c r="R278" s="44" t="n">
        <f aca="false">IF(AND(P278&gt;0.005,271&lt;=NPer),ROUND(P278-IF(271&lt;=Grace,0,IF(271=NPer,P278,IF(Method="Equal principal (reducing payments)",MIN(ROUND(EqPrin,2),P278),MIN(ROUND(Annuity-Q278,2),P278)))),2),0)</f>
        <v>0</v>
      </c>
    </row>
    <row r="279" customFormat="false" ht="15" hidden="false" customHeight="false" outlineLevel="0" collapsed="false">
      <c r="A279" s="38" t="str">
        <f aca="false">IF(AND(N(K278)&gt;0.005,A278&lt;NPer),A278+1,"")</f>
        <v/>
      </c>
      <c r="B279" s="39" t="str">
        <f aca="false">IF(A279="","",EDATE(Disb,A279*MPP))</f>
        <v/>
      </c>
      <c r="C279" s="40" t="str">
        <f aca="false">IF(A279="","",IF(A279&lt;=Grace,"Grace","Repayment"))</f>
        <v/>
      </c>
      <c r="D279" s="41" t="str">
        <f aca="false">IF(A279="","",K278)</f>
        <v/>
      </c>
      <c r="E279" s="41" t="str">
        <f aca="false">IF(AND(A279&lt;&gt;"",D279&gt;0.005),F279+G279,"")</f>
        <v/>
      </c>
      <c r="F279" s="41" t="str">
        <f aca="false">IF(AND(A279&lt;&gt;"",D279&gt;0.005),ROUND(D279*RP,2),"")</f>
        <v/>
      </c>
      <c r="G279" s="41" t="str">
        <f aca="false">IF(AND(A279&lt;&gt;"",D279&gt;0.005),IF(A279&lt;=Grace,0,IF(A279=NPer,D279,IF(Method="Equal principal (reducing payments)",MIN(ROUND(EqPrin,2),D279),MIN(ROUND(Annuity-F279,2),D279)))),"")</f>
        <v/>
      </c>
      <c r="H279" s="41" t="str">
        <f aca="false">IF(AND(A279&lt;&gt;"",D279&gt;0.005),IF(A279&lt;=Grace,0,MIN(Extra,D279-G279)),"")</f>
        <v/>
      </c>
      <c r="I279" s="41" t="str">
        <f aca="false">IF(AND(A279&lt;&gt;"",D279&gt;0.005),MIN(SUMIF(LumpN,A279,LumpAmt),D279-G279-H279),"")</f>
        <v/>
      </c>
      <c r="J279" s="42" t="str">
        <f aca="false">IF(AND(A279&lt;&gt;"",D279&gt;0.005),E279+H279+I279,"")</f>
        <v/>
      </c>
      <c r="K279" s="42" t="str">
        <f aca="false">IF(AND(A279&lt;&gt;"",D279&gt;0.005),ROUND(D279-G279-H279-I279,2),"")</f>
        <v/>
      </c>
      <c r="L279" s="41" t="str">
        <f aca="false">IF(AND(A279&lt;&gt;"",D279&gt;0.005),L278+F279,"")</f>
        <v/>
      </c>
      <c r="M279" s="41" t="str">
        <f aca="false">IF(AND(A279&lt;&gt;"",D279&gt;0.005),M278+G279+H279+I279,"")</f>
        <v/>
      </c>
      <c r="N279" s="43" t="str">
        <f aca="false">IF(B279="","",YEAR(B279))</f>
        <v/>
      </c>
      <c r="O279" s="44" t="n">
        <f aca="false">IF(AND(A279&lt;&gt;"",D279&gt;0.005),J279,0)</f>
        <v>0</v>
      </c>
      <c r="P279" s="44" t="n">
        <f aca="false">R278</f>
        <v>0</v>
      </c>
      <c r="Q279" s="44" t="n">
        <f aca="false">IF(AND(P279&gt;0.005,272&lt;=NPer),ROUND(P279*RP,2),0)</f>
        <v>0</v>
      </c>
      <c r="R279" s="44" t="n">
        <f aca="false">IF(AND(P279&gt;0.005,272&lt;=NPer),ROUND(P279-IF(272&lt;=Grace,0,IF(272=NPer,P279,IF(Method="Equal principal (reducing payments)",MIN(ROUND(EqPrin,2),P279),MIN(ROUND(Annuity-Q279,2),P279)))),2),0)</f>
        <v>0</v>
      </c>
    </row>
    <row r="280" customFormat="false" ht="15" hidden="false" customHeight="false" outlineLevel="0" collapsed="false">
      <c r="A280" s="38" t="str">
        <f aca="false">IF(AND(N(K279)&gt;0.005,A279&lt;NPer),A279+1,"")</f>
        <v/>
      </c>
      <c r="B280" s="39" t="str">
        <f aca="false">IF(A280="","",EDATE(Disb,A280*MPP))</f>
        <v/>
      </c>
      <c r="C280" s="40" t="str">
        <f aca="false">IF(A280="","",IF(A280&lt;=Grace,"Grace","Repayment"))</f>
        <v/>
      </c>
      <c r="D280" s="41" t="str">
        <f aca="false">IF(A280="","",K279)</f>
        <v/>
      </c>
      <c r="E280" s="41" t="str">
        <f aca="false">IF(AND(A280&lt;&gt;"",D280&gt;0.005),F280+G280,"")</f>
        <v/>
      </c>
      <c r="F280" s="41" t="str">
        <f aca="false">IF(AND(A280&lt;&gt;"",D280&gt;0.005),ROUND(D280*RP,2),"")</f>
        <v/>
      </c>
      <c r="G280" s="41" t="str">
        <f aca="false">IF(AND(A280&lt;&gt;"",D280&gt;0.005),IF(A280&lt;=Grace,0,IF(A280=NPer,D280,IF(Method="Equal principal (reducing payments)",MIN(ROUND(EqPrin,2),D280),MIN(ROUND(Annuity-F280,2),D280)))),"")</f>
        <v/>
      </c>
      <c r="H280" s="41" t="str">
        <f aca="false">IF(AND(A280&lt;&gt;"",D280&gt;0.005),IF(A280&lt;=Grace,0,MIN(Extra,D280-G280)),"")</f>
        <v/>
      </c>
      <c r="I280" s="41" t="str">
        <f aca="false">IF(AND(A280&lt;&gt;"",D280&gt;0.005),MIN(SUMIF(LumpN,A280,LumpAmt),D280-G280-H280),"")</f>
        <v/>
      </c>
      <c r="J280" s="42" t="str">
        <f aca="false">IF(AND(A280&lt;&gt;"",D280&gt;0.005),E280+H280+I280,"")</f>
        <v/>
      </c>
      <c r="K280" s="42" t="str">
        <f aca="false">IF(AND(A280&lt;&gt;"",D280&gt;0.005),ROUND(D280-G280-H280-I280,2),"")</f>
        <v/>
      </c>
      <c r="L280" s="41" t="str">
        <f aca="false">IF(AND(A280&lt;&gt;"",D280&gt;0.005),L279+F280,"")</f>
        <v/>
      </c>
      <c r="M280" s="41" t="str">
        <f aca="false">IF(AND(A280&lt;&gt;"",D280&gt;0.005),M279+G280+H280+I280,"")</f>
        <v/>
      </c>
      <c r="N280" s="43" t="str">
        <f aca="false">IF(B280="","",YEAR(B280))</f>
        <v/>
      </c>
      <c r="O280" s="44" t="n">
        <f aca="false">IF(AND(A280&lt;&gt;"",D280&gt;0.005),J280,0)</f>
        <v>0</v>
      </c>
      <c r="P280" s="44" t="n">
        <f aca="false">R279</f>
        <v>0</v>
      </c>
      <c r="Q280" s="44" t="n">
        <f aca="false">IF(AND(P280&gt;0.005,273&lt;=NPer),ROUND(P280*RP,2),0)</f>
        <v>0</v>
      </c>
      <c r="R280" s="44" t="n">
        <f aca="false">IF(AND(P280&gt;0.005,273&lt;=NPer),ROUND(P280-IF(273&lt;=Grace,0,IF(273=NPer,P280,IF(Method="Equal principal (reducing payments)",MIN(ROUND(EqPrin,2),P280),MIN(ROUND(Annuity-Q280,2),P280)))),2),0)</f>
        <v>0</v>
      </c>
    </row>
    <row r="281" customFormat="false" ht="15" hidden="false" customHeight="false" outlineLevel="0" collapsed="false">
      <c r="A281" s="38" t="str">
        <f aca="false">IF(AND(N(K280)&gt;0.005,A280&lt;NPer),A280+1,"")</f>
        <v/>
      </c>
      <c r="B281" s="39" t="str">
        <f aca="false">IF(A281="","",EDATE(Disb,A281*MPP))</f>
        <v/>
      </c>
      <c r="C281" s="40" t="str">
        <f aca="false">IF(A281="","",IF(A281&lt;=Grace,"Grace","Repayment"))</f>
        <v/>
      </c>
      <c r="D281" s="41" t="str">
        <f aca="false">IF(A281="","",K280)</f>
        <v/>
      </c>
      <c r="E281" s="41" t="str">
        <f aca="false">IF(AND(A281&lt;&gt;"",D281&gt;0.005),F281+G281,"")</f>
        <v/>
      </c>
      <c r="F281" s="41" t="str">
        <f aca="false">IF(AND(A281&lt;&gt;"",D281&gt;0.005),ROUND(D281*RP,2),"")</f>
        <v/>
      </c>
      <c r="G281" s="41" t="str">
        <f aca="false">IF(AND(A281&lt;&gt;"",D281&gt;0.005),IF(A281&lt;=Grace,0,IF(A281=NPer,D281,IF(Method="Equal principal (reducing payments)",MIN(ROUND(EqPrin,2),D281),MIN(ROUND(Annuity-F281,2),D281)))),"")</f>
        <v/>
      </c>
      <c r="H281" s="41" t="str">
        <f aca="false">IF(AND(A281&lt;&gt;"",D281&gt;0.005),IF(A281&lt;=Grace,0,MIN(Extra,D281-G281)),"")</f>
        <v/>
      </c>
      <c r="I281" s="41" t="str">
        <f aca="false">IF(AND(A281&lt;&gt;"",D281&gt;0.005),MIN(SUMIF(LumpN,A281,LumpAmt),D281-G281-H281),"")</f>
        <v/>
      </c>
      <c r="J281" s="42" t="str">
        <f aca="false">IF(AND(A281&lt;&gt;"",D281&gt;0.005),E281+H281+I281,"")</f>
        <v/>
      </c>
      <c r="K281" s="42" t="str">
        <f aca="false">IF(AND(A281&lt;&gt;"",D281&gt;0.005),ROUND(D281-G281-H281-I281,2),"")</f>
        <v/>
      </c>
      <c r="L281" s="41" t="str">
        <f aca="false">IF(AND(A281&lt;&gt;"",D281&gt;0.005),L280+F281,"")</f>
        <v/>
      </c>
      <c r="M281" s="41" t="str">
        <f aca="false">IF(AND(A281&lt;&gt;"",D281&gt;0.005),M280+G281+H281+I281,"")</f>
        <v/>
      </c>
      <c r="N281" s="43" t="str">
        <f aca="false">IF(B281="","",YEAR(B281))</f>
        <v/>
      </c>
      <c r="O281" s="44" t="n">
        <f aca="false">IF(AND(A281&lt;&gt;"",D281&gt;0.005),J281,0)</f>
        <v>0</v>
      </c>
      <c r="P281" s="44" t="n">
        <f aca="false">R280</f>
        <v>0</v>
      </c>
      <c r="Q281" s="44" t="n">
        <f aca="false">IF(AND(P281&gt;0.005,274&lt;=NPer),ROUND(P281*RP,2),0)</f>
        <v>0</v>
      </c>
      <c r="R281" s="44" t="n">
        <f aca="false">IF(AND(P281&gt;0.005,274&lt;=NPer),ROUND(P281-IF(274&lt;=Grace,0,IF(274=NPer,P281,IF(Method="Equal principal (reducing payments)",MIN(ROUND(EqPrin,2),P281),MIN(ROUND(Annuity-Q281,2),P281)))),2),0)</f>
        <v>0</v>
      </c>
    </row>
    <row r="282" customFormat="false" ht="15" hidden="false" customHeight="false" outlineLevel="0" collapsed="false">
      <c r="A282" s="38" t="str">
        <f aca="false">IF(AND(N(K281)&gt;0.005,A281&lt;NPer),A281+1,"")</f>
        <v/>
      </c>
      <c r="B282" s="39" t="str">
        <f aca="false">IF(A282="","",EDATE(Disb,A282*MPP))</f>
        <v/>
      </c>
      <c r="C282" s="40" t="str">
        <f aca="false">IF(A282="","",IF(A282&lt;=Grace,"Grace","Repayment"))</f>
        <v/>
      </c>
      <c r="D282" s="41" t="str">
        <f aca="false">IF(A282="","",K281)</f>
        <v/>
      </c>
      <c r="E282" s="41" t="str">
        <f aca="false">IF(AND(A282&lt;&gt;"",D282&gt;0.005),F282+G282,"")</f>
        <v/>
      </c>
      <c r="F282" s="41" t="str">
        <f aca="false">IF(AND(A282&lt;&gt;"",D282&gt;0.005),ROUND(D282*RP,2),"")</f>
        <v/>
      </c>
      <c r="G282" s="41" t="str">
        <f aca="false">IF(AND(A282&lt;&gt;"",D282&gt;0.005),IF(A282&lt;=Grace,0,IF(A282=NPer,D282,IF(Method="Equal principal (reducing payments)",MIN(ROUND(EqPrin,2),D282),MIN(ROUND(Annuity-F282,2),D282)))),"")</f>
        <v/>
      </c>
      <c r="H282" s="41" t="str">
        <f aca="false">IF(AND(A282&lt;&gt;"",D282&gt;0.005),IF(A282&lt;=Grace,0,MIN(Extra,D282-G282)),"")</f>
        <v/>
      </c>
      <c r="I282" s="41" t="str">
        <f aca="false">IF(AND(A282&lt;&gt;"",D282&gt;0.005),MIN(SUMIF(LumpN,A282,LumpAmt),D282-G282-H282),"")</f>
        <v/>
      </c>
      <c r="J282" s="42" t="str">
        <f aca="false">IF(AND(A282&lt;&gt;"",D282&gt;0.005),E282+H282+I282,"")</f>
        <v/>
      </c>
      <c r="K282" s="42" t="str">
        <f aca="false">IF(AND(A282&lt;&gt;"",D282&gt;0.005),ROUND(D282-G282-H282-I282,2),"")</f>
        <v/>
      </c>
      <c r="L282" s="41" t="str">
        <f aca="false">IF(AND(A282&lt;&gt;"",D282&gt;0.005),L281+F282,"")</f>
        <v/>
      </c>
      <c r="M282" s="41" t="str">
        <f aca="false">IF(AND(A282&lt;&gt;"",D282&gt;0.005),M281+G282+H282+I282,"")</f>
        <v/>
      </c>
      <c r="N282" s="43" t="str">
        <f aca="false">IF(B282="","",YEAR(B282))</f>
        <v/>
      </c>
      <c r="O282" s="44" t="n">
        <f aca="false">IF(AND(A282&lt;&gt;"",D282&gt;0.005),J282,0)</f>
        <v>0</v>
      </c>
      <c r="P282" s="44" t="n">
        <f aca="false">R281</f>
        <v>0</v>
      </c>
      <c r="Q282" s="44" t="n">
        <f aca="false">IF(AND(P282&gt;0.005,275&lt;=NPer),ROUND(P282*RP,2),0)</f>
        <v>0</v>
      </c>
      <c r="R282" s="44" t="n">
        <f aca="false">IF(AND(P282&gt;0.005,275&lt;=NPer),ROUND(P282-IF(275&lt;=Grace,0,IF(275=NPer,P282,IF(Method="Equal principal (reducing payments)",MIN(ROUND(EqPrin,2),P282),MIN(ROUND(Annuity-Q282,2),P282)))),2),0)</f>
        <v>0</v>
      </c>
    </row>
    <row r="283" customFormat="false" ht="15" hidden="false" customHeight="false" outlineLevel="0" collapsed="false">
      <c r="A283" s="38" t="str">
        <f aca="false">IF(AND(N(K282)&gt;0.005,A282&lt;NPer),A282+1,"")</f>
        <v/>
      </c>
      <c r="B283" s="39" t="str">
        <f aca="false">IF(A283="","",EDATE(Disb,A283*MPP))</f>
        <v/>
      </c>
      <c r="C283" s="40" t="str">
        <f aca="false">IF(A283="","",IF(A283&lt;=Grace,"Grace","Repayment"))</f>
        <v/>
      </c>
      <c r="D283" s="41" t="str">
        <f aca="false">IF(A283="","",K282)</f>
        <v/>
      </c>
      <c r="E283" s="41" t="str">
        <f aca="false">IF(AND(A283&lt;&gt;"",D283&gt;0.005),F283+G283,"")</f>
        <v/>
      </c>
      <c r="F283" s="41" t="str">
        <f aca="false">IF(AND(A283&lt;&gt;"",D283&gt;0.005),ROUND(D283*RP,2),"")</f>
        <v/>
      </c>
      <c r="G283" s="41" t="str">
        <f aca="false">IF(AND(A283&lt;&gt;"",D283&gt;0.005),IF(A283&lt;=Grace,0,IF(A283=NPer,D283,IF(Method="Equal principal (reducing payments)",MIN(ROUND(EqPrin,2),D283),MIN(ROUND(Annuity-F283,2),D283)))),"")</f>
        <v/>
      </c>
      <c r="H283" s="41" t="str">
        <f aca="false">IF(AND(A283&lt;&gt;"",D283&gt;0.005),IF(A283&lt;=Grace,0,MIN(Extra,D283-G283)),"")</f>
        <v/>
      </c>
      <c r="I283" s="41" t="str">
        <f aca="false">IF(AND(A283&lt;&gt;"",D283&gt;0.005),MIN(SUMIF(LumpN,A283,LumpAmt),D283-G283-H283),"")</f>
        <v/>
      </c>
      <c r="J283" s="42" t="str">
        <f aca="false">IF(AND(A283&lt;&gt;"",D283&gt;0.005),E283+H283+I283,"")</f>
        <v/>
      </c>
      <c r="K283" s="42" t="str">
        <f aca="false">IF(AND(A283&lt;&gt;"",D283&gt;0.005),ROUND(D283-G283-H283-I283,2),"")</f>
        <v/>
      </c>
      <c r="L283" s="41" t="str">
        <f aca="false">IF(AND(A283&lt;&gt;"",D283&gt;0.005),L282+F283,"")</f>
        <v/>
      </c>
      <c r="M283" s="41" t="str">
        <f aca="false">IF(AND(A283&lt;&gt;"",D283&gt;0.005),M282+G283+H283+I283,"")</f>
        <v/>
      </c>
      <c r="N283" s="43" t="str">
        <f aca="false">IF(B283="","",YEAR(B283))</f>
        <v/>
      </c>
      <c r="O283" s="44" t="n">
        <f aca="false">IF(AND(A283&lt;&gt;"",D283&gt;0.005),J283,0)</f>
        <v>0</v>
      </c>
      <c r="P283" s="44" t="n">
        <f aca="false">R282</f>
        <v>0</v>
      </c>
      <c r="Q283" s="44" t="n">
        <f aca="false">IF(AND(P283&gt;0.005,276&lt;=NPer),ROUND(P283*RP,2),0)</f>
        <v>0</v>
      </c>
      <c r="R283" s="44" t="n">
        <f aca="false">IF(AND(P283&gt;0.005,276&lt;=NPer),ROUND(P283-IF(276&lt;=Grace,0,IF(276=NPer,P283,IF(Method="Equal principal (reducing payments)",MIN(ROUND(EqPrin,2),P283),MIN(ROUND(Annuity-Q283,2),P283)))),2),0)</f>
        <v>0</v>
      </c>
    </row>
    <row r="284" customFormat="false" ht="15" hidden="false" customHeight="false" outlineLevel="0" collapsed="false">
      <c r="A284" s="38" t="str">
        <f aca="false">IF(AND(N(K283)&gt;0.005,A283&lt;NPer),A283+1,"")</f>
        <v/>
      </c>
      <c r="B284" s="39" t="str">
        <f aca="false">IF(A284="","",EDATE(Disb,A284*MPP))</f>
        <v/>
      </c>
      <c r="C284" s="40" t="str">
        <f aca="false">IF(A284="","",IF(A284&lt;=Grace,"Grace","Repayment"))</f>
        <v/>
      </c>
      <c r="D284" s="41" t="str">
        <f aca="false">IF(A284="","",K283)</f>
        <v/>
      </c>
      <c r="E284" s="41" t="str">
        <f aca="false">IF(AND(A284&lt;&gt;"",D284&gt;0.005),F284+G284,"")</f>
        <v/>
      </c>
      <c r="F284" s="41" t="str">
        <f aca="false">IF(AND(A284&lt;&gt;"",D284&gt;0.005),ROUND(D284*RP,2),"")</f>
        <v/>
      </c>
      <c r="G284" s="41" t="str">
        <f aca="false">IF(AND(A284&lt;&gt;"",D284&gt;0.005),IF(A284&lt;=Grace,0,IF(A284=NPer,D284,IF(Method="Equal principal (reducing payments)",MIN(ROUND(EqPrin,2),D284),MIN(ROUND(Annuity-F284,2),D284)))),"")</f>
        <v/>
      </c>
      <c r="H284" s="41" t="str">
        <f aca="false">IF(AND(A284&lt;&gt;"",D284&gt;0.005),IF(A284&lt;=Grace,0,MIN(Extra,D284-G284)),"")</f>
        <v/>
      </c>
      <c r="I284" s="41" t="str">
        <f aca="false">IF(AND(A284&lt;&gt;"",D284&gt;0.005),MIN(SUMIF(LumpN,A284,LumpAmt),D284-G284-H284),"")</f>
        <v/>
      </c>
      <c r="J284" s="42" t="str">
        <f aca="false">IF(AND(A284&lt;&gt;"",D284&gt;0.005),E284+H284+I284,"")</f>
        <v/>
      </c>
      <c r="K284" s="42" t="str">
        <f aca="false">IF(AND(A284&lt;&gt;"",D284&gt;0.005),ROUND(D284-G284-H284-I284,2),"")</f>
        <v/>
      </c>
      <c r="L284" s="41" t="str">
        <f aca="false">IF(AND(A284&lt;&gt;"",D284&gt;0.005),L283+F284,"")</f>
        <v/>
      </c>
      <c r="M284" s="41" t="str">
        <f aca="false">IF(AND(A284&lt;&gt;"",D284&gt;0.005),M283+G284+H284+I284,"")</f>
        <v/>
      </c>
      <c r="N284" s="43" t="str">
        <f aca="false">IF(B284="","",YEAR(B284))</f>
        <v/>
      </c>
      <c r="O284" s="44" t="n">
        <f aca="false">IF(AND(A284&lt;&gt;"",D284&gt;0.005),J284,0)</f>
        <v>0</v>
      </c>
      <c r="P284" s="44" t="n">
        <f aca="false">R283</f>
        <v>0</v>
      </c>
      <c r="Q284" s="44" t="n">
        <f aca="false">IF(AND(P284&gt;0.005,277&lt;=NPer),ROUND(P284*RP,2),0)</f>
        <v>0</v>
      </c>
      <c r="R284" s="44" t="n">
        <f aca="false">IF(AND(P284&gt;0.005,277&lt;=NPer),ROUND(P284-IF(277&lt;=Grace,0,IF(277=NPer,P284,IF(Method="Equal principal (reducing payments)",MIN(ROUND(EqPrin,2),P284),MIN(ROUND(Annuity-Q284,2),P284)))),2),0)</f>
        <v>0</v>
      </c>
    </row>
    <row r="285" customFormat="false" ht="15" hidden="false" customHeight="false" outlineLevel="0" collapsed="false">
      <c r="A285" s="38" t="str">
        <f aca="false">IF(AND(N(K284)&gt;0.005,A284&lt;NPer),A284+1,"")</f>
        <v/>
      </c>
      <c r="B285" s="39" t="str">
        <f aca="false">IF(A285="","",EDATE(Disb,A285*MPP))</f>
        <v/>
      </c>
      <c r="C285" s="40" t="str">
        <f aca="false">IF(A285="","",IF(A285&lt;=Grace,"Grace","Repayment"))</f>
        <v/>
      </c>
      <c r="D285" s="41" t="str">
        <f aca="false">IF(A285="","",K284)</f>
        <v/>
      </c>
      <c r="E285" s="41" t="str">
        <f aca="false">IF(AND(A285&lt;&gt;"",D285&gt;0.005),F285+G285,"")</f>
        <v/>
      </c>
      <c r="F285" s="41" t="str">
        <f aca="false">IF(AND(A285&lt;&gt;"",D285&gt;0.005),ROUND(D285*RP,2),"")</f>
        <v/>
      </c>
      <c r="G285" s="41" t="str">
        <f aca="false">IF(AND(A285&lt;&gt;"",D285&gt;0.005),IF(A285&lt;=Grace,0,IF(A285=NPer,D285,IF(Method="Equal principal (reducing payments)",MIN(ROUND(EqPrin,2),D285),MIN(ROUND(Annuity-F285,2),D285)))),"")</f>
        <v/>
      </c>
      <c r="H285" s="41" t="str">
        <f aca="false">IF(AND(A285&lt;&gt;"",D285&gt;0.005),IF(A285&lt;=Grace,0,MIN(Extra,D285-G285)),"")</f>
        <v/>
      </c>
      <c r="I285" s="41" t="str">
        <f aca="false">IF(AND(A285&lt;&gt;"",D285&gt;0.005),MIN(SUMIF(LumpN,A285,LumpAmt),D285-G285-H285),"")</f>
        <v/>
      </c>
      <c r="J285" s="42" t="str">
        <f aca="false">IF(AND(A285&lt;&gt;"",D285&gt;0.005),E285+H285+I285,"")</f>
        <v/>
      </c>
      <c r="K285" s="42" t="str">
        <f aca="false">IF(AND(A285&lt;&gt;"",D285&gt;0.005),ROUND(D285-G285-H285-I285,2),"")</f>
        <v/>
      </c>
      <c r="L285" s="41" t="str">
        <f aca="false">IF(AND(A285&lt;&gt;"",D285&gt;0.005),L284+F285,"")</f>
        <v/>
      </c>
      <c r="M285" s="41" t="str">
        <f aca="false">IF(AND(A285&lt;&gt;"",D285&gt;0.005),M284+G285+H285+I285,"")</f>
        <v/>
      </c>
      <c r="N285" s="43" t="str">
        <f aca="false">IF(B285="","",YEAR(B285))</f>
        <v/>
      </c>
      <c r="O285" s="44" t="n">
        <f aca="false">IF(AND(A285&lt;&gt;"",D285&gt;0.005),J285,0)</f>
        <v>0</v>
      </c>
      <c r="P285" s="44" t="n">
        <f aca="false">R284</f>
        <v>0</v>
      </c>
      <c r="Q285" s="44" t="n">
        <f aca="false">IF(AND(P285&gt;0.005,278&lt;=NPer),ROUND(P285*RP,2),0)</f>
        <v>0</v>
      </c>
      <c r="R285" s="44" t="n">
        <f aca="false">IF(AND(P285&gt;0.005,278&lt;=NPer),ROUND(P285-IF(278&lt;=Grace,0,IF(278=NPer,P285,IF(Method="Equal principal (reducing payments)",MIN(ROUND(EqPrin,2),P285),MIN(ROUND(Annuity-Q285,2),P285)))),2),0)</f>
        <v>0</v>
      </c>
    </row>
    <row r="286" customFormat="false" ht="15" hidden="false" customHeight="false" outlineLevel="0" collapsed="false">
      <c r="A286" s="38" t="str">
        <f aca="false">IF(AND(N(K285)&gt;0.005,A285&lt;NPer),A285+1,"")</f>
        <v/>
      </c>
      <c r="B286" s="39" t="str">
        <f aca="false">IF(A286="","",EDATE(Disb,A286*MPP))</f>
        <v/>
      </c>
      <c r="C286" s="40" t="str">
        <f aca="false">IF(A286="","",IF(A286&lt;=Grace,"Grace","Repayment"))</f>
        <v/>
      </c>
      <c r="D286" s="41" t="str">
        <f aca="false">IF(A286="","",K285)</f>
        <v/>
      </c>
      <c r="E286" s="41" t="str">
        <f aca="false">IF(AND(A286&lt;&gt;"",D286&gt;0.005),F286+G286,"")</f>
        <v/>
      </c>
      <c r="F286" s="41" t="str">
        <f aca="false">IF(AND(A286&lt;&gt;"",D286&gt;0.005),ROUND(D286*RP,2),"")</f>
        <v/>
      </c>
      <c r="G286" s="41" t="str">
        <f aca="false">IF(AND(A286&lt;&gt;"",D286&gt;0.005),IF(A286&lt;=Grace,0,IF(A286=NPer,D286,IF(Method="Equal principal (reducing payments)",MIN(ROUND(EqPrin,2),D286),MIN(ROUND(Annuity-F286,2),D286)))),"")</f>
        <v/>
      </c>
      <c r="H286" s="41" t="str">
        <f aca="false">IF(AND(A286&lt;&gt;"",D286&gt;0.005),IF(A286&lt;=Grace,0,MIN(Extra,D286-G286)),"")</f>
        <v/>
      </c>
      <c r="I286" s="41" t="str">
        <f aca="false">IF(AND(A286&lt;&gt;"",D286&gt;0.005),MIN(SUMIF(LumpN,A286,LumpAmt),D286-G286-H286),"")</f>
        <v/>
      </c>
      <c r="J286" s="42" t="str">
        <f aca="false">IF(AND(A286&lt;&gt;"",D286&gt;0.005),E286+H286+I286,"")</f>
        <v/>
      </c>
      <c r="K286" s="42" t="str">
        <f aca="false">IF(AND(A286&lt;&gt;"",D286&gt;0.005),ROUND(D286-G286-H286-I286,2),"")</f>
        <v/>
      </c>
      <c r="L286" s="41" t="str">
        <f aca="false">IF(AND(A286&lt;&gt;"",D286&gt;0.005),L285+F286,"")</f>
        <v/>
      </c>
      <c r="M286" s="41" t="str">
        <f aca="false">IF(AND(A286&lt;&gt;"",D286&gt;0.005),M285+G286+H286+I286,"")</f>
        <v/>
      </c>
      <c r="N286" s="43" t="str">
        <f aca="false">IF(B286="","",YEAR(B286))</f>
        <v/>
      </c>
      <c r="O286" s="44" t="n">
        <f aca="false">IF(AND(A286&lt;&gt;"",D286&gt;0.005),J286,0)</f>
        <v>0</v>
      </c>
      <c r="P286" s="44" t="n">
        <f aca="false">R285</f>
        <v>0</v>
      </c>
      <c r="Q286" s="44" t="n">
        <f aca="false">IF(AND(P286&gt;0.005,279&lt;=NPer),ROUND(P286*RP,2),0)</f>
        <v>0</v>
      </c>
      <c r="R286" s="44" t="n">
        <f aca="false">IF(AND(P286&gt;0.005,279&lt;=NPer),ROUND(P286-IF(279&lt;=Grace,0,IF(279=NPer,P286,IF(Method="Equal principal (reducing payments)",MIN(ROUND(EqPrin,2),P286),MIN(ROUND(Annuity-Q286,2),P286)))),2),0)</f>
        <v>0</v>
      </c>
    </row>
    <row r="287" customFormat="false" ht="15" hidden="false" customHeight="false" outlineLevel="0" collapsed="false">
      <c r="A287" s="38" t="str">
        <f aca="false">IF(AND(N(K286)&gt;0.005,A286&lt;NPer),A286+1,"")</f>
        <v/>
      </c>
      <c r="B287" s="39" t="str">
        <f aca="false">IF(A287="","",EDATE(Disb,A287*MPP))</f>
        <v/>
      </c>
      <c r="C287" s="40" t="str">
        <f aca="false">IF(A287="","",IF(A287&lt;=Grace,"Grace","Repayment"))</f>
        <v/>
      </c>
      <c r="D287" s="41" t="str">
        <f aca="false">IF(A287="","",K286)</f>
        <v/>
      </c>
      <c r="E287" s="41" t="str">
        <f aca="false">IF(AND(A287&lt;&gt;"",D287&gt;0.005),F287+G287,"")</f>
        <v/>
      </c>
      <c r="F287" s="41" t="str">
        <f aca="false">IF(AND(A287&lt;&gt;"",D287&gt;0.005),ROUND(D287*RP,2),"")</f>
        <v/>
      </c>
      <c r="G287" s="41" t="str">
        <f aca="false">IF(AND(A287&lt;&gt;"",D287&gt;0.005),IF(A287&lt;=Grace,0,IF(A287=NPer,D287,IF(Method="Equal principal (reducing payments)",MIN(ROUND(EqPrin,2),D287),MIN(ROUND(Annuity-F287,2),D287)))),"")</f>
        <v/>
      </c>
      <c r="H287" s="41" t="str">
        <f aca="false">IF(AND(A287&lt;&gt;"",D287&gt;0.005),IF(A287&lt;=Grace,0,MIN(Extra,D287-G287)),"")</f>
        <v/>
      </c>
      <c r="I287" s="41" t="str">
        <f aca="false">IF(AND(A287&lt;&gt;"",D287&gt;0.005),MIN(SUMIF(LumpN,A287,LumpAmt),D287-G287-H287),"")</f>
        <v/>
      </c>
      <c r="J287" s="42" t="str">
        <f aca="false">IF(AND(A287&lt;&gt;"",D287&gt;0.005),E287+H287+I287,"")</f>
        <v/>
      </c>
      <c r="K287" s="42" t="str">
        <f aca="false">IF(AND(A287&lt;&gt;"",D287&gt;0.005),ROUND(D287-G287-H287-I287,2),"")</f>
        <v/>
      </c>
      <c r="L287" s="41" t="str">
        <f aca="false">IF(AND(A287&lt;&gt;"",D287&gt;0.005),L286+F287,"")</f>
        <v/>
      </c>
      <c r="M287" s="41" t="str">
        <f aca="false">IF(AND(A287&lt;&gt;"",D287&gt;0.005),M286+G287+H287+I287,"")</f>
        <v/>
      </c>
      <c r="N287" s="43" t="str">
        <f aca="false">IF(B287="","",YEAR(B287))</f>
        <v/>
      </c>
      <c r="O287" s="44" t="n">
        <f aca="false">IF(AND(A287&lt;&gt;"",D287&gt;0.005),J287,0)</f>
        <v>0</v>
      </c>
      <c r="P287" s="44" t="n">
        <f aca="false">R286</f>
        <v>0</v>
      </c>
      <c r="Q287" s="44" t="n">
        <f aca="false">IF(AND(P287&gt;0.005,280&lt;=NPer),ROUND(P287*RP,2),0)</f>
        <v>0</v>
      </c>
      <c r="R287" s="44" t="n">
        <f aca="false">IF(AND(P287&gt;0.005,280&lt;=NPer),ROUND(P287-IF(280&lt;=Grace,0,IF(280=NPer,P287,IF(Method="Equal principal (reducing payments)",MIN(ROUND(EqPrin,2),P287),MIN(ROUND(Annuity-Q287,2),P287)))),2),0)</f>
        <v>0</v>
      </c>
    </row>
    <row r="288" customFormat="false" ht="15" hidden="false" customHeight="false" outlineLevel="0" collapsed="false">
      <c r="A288" s="38" t="str">
        <f aca="false">IF(AND(N(K287)&gt;0.005,A287&lt;NPer),A287+1,"")</f>
        <v/>
      </c>
      <c r="B288" s="39" t="str">
        <f aca="false">IF(A288="","",EDATE(Disb,A288*MPP))</f>
        <v/>
      </c>
      <c r="C288" s="40" t="str">
        <f aca="false">IF(A288="","",IF(A288&lt;=Grace,"Grace","Repayment"))</f>
        <v/>
      </c>
      <c r="D288" s="41" t="str">
        <f aca="false">IF(A288="","",K287)</f>
        <v/>
      </c>
      <c r="E288" s="41" t="str">
        <f aca="false">IF(AND(A288&lt;&gt;"",D288&gt;0.005),F288+G288,"")</f>
        <v/>
      </c>
      <c r="F288" s="41" t="str">
        <f aca="false">IF(AND(A288&lt;&gt;"",D288&gt;0.005),ROUND(D288*RP,2),"")</f>
        <v/>
      </c>
      <c r="G288" s="41" t="str">
        <f aca="false">IF(AND(A288&lt;&gt;"",D288&gt;0.005),IF(A288&lt;=Grace,0,IF(A288=NPer,D288,IF(Method="Equal principal (reducing payments)",MIN(ROUND(EqPrin,2),D288),MIN(ROUND(Annuity-F288,2),D288)))),"")</f>
        <v/>
      </c>
      <c r="H288" s="41" t="str">
        <f aca="false">IF(AND(A288&lt;&gt;"",D288&gt;0.005),IF(A288&lt;=Grace,0,MIN(Extra,D288-G288)),"")</f>
        <v/>
      </c>
      <c r="I288" s="41" t="str">
        <f aca="false">IF(AND(A288&lt;&gt;"",D288&gt;0.005),MIN(SUMIF(LumpN,A288,LumpAmt),D288-G288-H288),"")</f>
        <v/>
      </c>
      <c r="J288" s="42" t="str">
        <f aca="false">IF(AND(A288&lt;&gt;"",D288&gt;0.005),E288+H288+I288,"")</f>
        <v/>
      </c>
      <c r="K288" s="42" t="str">
        <f aca="false">IF(AND(A288&lt;&gt;"",D288&gt;0.005),ROUND(D288-G288-H288-I288,2),"")</f>
        <v/>
      </c>
      <c r="L288" s="41" t="str">
        <f aca="false">IF(AND(A288&lt;&gt;"",D288&gt;0.005),L287+F288,"")</f>
        <v/>
      </c>
      <c r="M288" s="41" t="str">
        <f aca="false">IF(AND(A288&lt;&gt;"",D288&gt;0.005),M287+G288+H288+I288,"")</f>
        <v/>
      </c>
      <c r="N288" s="43" t="str">
        <f aca="false">IF(B288="","",YEAR(B288))</f>
        <v/>
      </c>
      <c r="O288" s="44" t="n">
        <f aca="false">IF(AND(A288&lt;&gt;"",D288&gt;0.005),J288,0)</f>
        <v>0</v>
      </c>
      <c r="P288" s="44" t="n">
        <f aca="false">R287</f>
        <v>0</v>
      </c>
      <c r="Q288" s="44" t="n">
        <f aca="false">IF(AND(P288&gt;0.005,281&lt;=NPer),ROUND(P288*RP,2),0)</f>
        <v>0</v>
      </c>
      <c r="R288" s="44" t="n">
        <f aca="false">IF(AND(P288&gt;0.005,281&lt;=NPer),ROUND(P288-IF(281&lt;=Grace,0,IF(281=NPer,P288,IF(Method="Equal principal (reducing payments)",MIN(ROUND(EqPrin,2),P288),MIN(ROUND(Annuity-Q288,2),P288)))),2),0)</f>
        <v>0</v>
      </c>
    </row>
    <row r="289" customFormat="false" ht="15" hidden="false" customHeight="false" outlineLevel="0" collapsed="false">
      <c r="A289" s="38" t="str">
        <f aca="false">IF(AND(N(K288)&gt;0.005,A288&lt;NPer),A288+1,"")</f>
        <v/>
      </c>
      <c r="B289" s="39" t="str">
        <f aca="false">IF(A289="","",EDATE(Disb,A289*MPP))</f>
        <v/>
      </c>
      <c r="C289" s="40" t="str">
        <f aca="false">IF(A289="","",IF(A289&lt;=Grace,"Grace","Repayment"))</f>
        <v/>
      </c>
      <c r="D289" s="41" t="str">
        <f aca="false">IF(A289="","",K288)</f>
        <v/>
      </c>
      <c r="E289" s="41" t="str">
        <f aca="false">IF(AND(A289&lt;&gt;"",D289&gt;0.005),F289+G289,"")</f>
        <v/>
      </c>
      <c r="F289" s="41" t="str">
        <f aca="false">IF(AND(A289&lt;&gt;"",D289&gt;0.005),ROUND(D289*RP,2),"")</f>
        <v/>
      </c>
      <c r="G289" s="41" t="str">
        <f aca="false">IF(AND(A289&lt;&gt;"",D289&gt;0.005),IF(A289&lt;=Grace,0,IF(A289=NPer,D289,IF(Method="Equal principal (reducing payments)",MIN(ROUND(EqPrin,2),D289),MIN(ROUND(Annuity-F289,2),D289)))),"")</f>
        <v/>
      </c>
      <c r="H289" s="41" t="str">
        <f aca="false">IF(AND(A289&lt;&gt;"",D289&gt;0.005),IF(A289&lt;=Grace,0,MIN(Extra,D289-G289)),"")</f>
        <v/>
      </c>
      <c r="I289" s="41" t="str">
        <f aca="false">IF(AND(A289&lt;&gt;"",D289&gt;0.005),MIN(SUMIF(LumpN,A289,LumpAmt),D289-G289-H289),"")</f>
        <v/>
      </c>
      <c r="J289" s="42" t="str">
        <f aca="false">IF(AND(A289&lt;&gt;"",D289&gt;0.005),E289+H289+I289,"")</f>
        <v/>
      </c>
      <c r="K289" s="42" t="str">
        <f aca="false">IF(AND(A289&lt;&gt;"",D289&gt;0.005),ROUND(D289-G289-H289-I289,2),"")</f>
        <v/>
      </c>
      <c r="L289" s="41" t="str">
        <f aca="false">IF(AND(A289&lt;&gt;"",D289&gt;0.005),L288+F289,"")</f>
        <v/>
      </c>
      <c r="M289" s="41" t="str">
        <f aca="false">IF(AND(A289&lt;&gt;"",D289&gt;0.005),M288+G289+H289+I289,"")</f>
        <v/>
      </c>
      <c r="N289" s="43" t="str">
        <f aca="false">IF(B289="","",YEAR(B289))</f>
        <v/>
      </c>
      <c r="O289" s="44" t="n">
        <f aca="false">IF(AND(A289&lt;&gt;"",D289&gt;0.005),J289,0)</f>
        <v>0</v>
      </c>
      <c r="P289" s="44" t="n">
        <f aca="false">R288</f>
        <v>0</v>
      </c>
      <c r="Q289" s="44" t="n">
        <f aca="false">IF(AND(P289&gt;0.005,282&lt;=NPer),ROUND(P289*RP,2),0)</f>
        <v>0</v>
      </c>
      <c r="R289" s="44" t="n">
        <f aca="false">IF(AND(P289&gt;0.005,282&lt;=NPer),ROUND(P289-IF(282&lt;=Grace,0,IF(282=NPer,P289,IF(Method="Equal principal (reducing payments)",MIN(ROUND(EqPrin,2),P289),MIN(ROUND(Annuity-Q289,2),P289)))),2),0)</f>
        <v>0</v>
      </c>
    </row>
    <row r="290" customFormat="false" ht="15" hidden="false" customHeight="false" outlineLevel="0" collapsed="false">
      <c r="A290" s="38" t="str">
        <f aca="false">IF(AND(N(K289)&gt;0.005,A289&lt;NPer),A289+1,"")</f>
        <v/>
      </c>
      <c r="B290" s="39" t="str">
        <f aca="false">IF(A290="","",EDATE(Disb,A290*MPP))</f>
        <v/>
      </c>
      <c r="C290" s="40" t="str">
        <f aca="false">IF(A290="","",IF(A290&lt;=Grace,"Grace","Repayment"))</f>
        <v/>
      </c>
      <c r="D290" s="41" t="str">
        <f aca="false">IF(A290="","",K289)</f>
        <v/>
      </c>
      <c r="E290" s="41" t="str">
        <f aca="false">IF(AND(A290&lt;&gt;"",D290&gt;0.005),F290+G290,"")</f>
        <v/>
      </c>
      <c r="F290" s="41" t="str">
        <f aca="false">IF(AND(A290&lt;&gt;"",D290&gt;0.005),ROUND(D290*RP,2),"")</f>
        <v/>
      </c>
      <c r="G290" s="41" t="str">
        <f aca="false">IF(AND(A290&lt;&gt;"",D290&gt;0.005),IF(A290&lt;=Grace,0,IF(A290=NPer,D290,IF(Method="Equal principal (reducing payments)",MIN(ROUND(EqPrin,2),D290),MIN(ROUND(Annuity-F290,2),D290)))),"")</f>
        <v/>
      </c>
      <c r="H290" s="41" t="str">
        <f aca="false">IF(AND(A290&lt;&gt;"",D290&gt;0.005),IF(A290&lt;=Grace,0,MIN(Extra,D290-G290)),"")</f>
        <v/>
      </c>
      <c r="I290" s="41" t="str">
        <f aca="false">IF(AND(A290&lt;&gt;"",D290&gt;0.005),MIN(SUMIF(LumpN,A290,LumpAmt),D290-G290-H290),"")</f>
        <v/>
      </c>
      <c r="J290" s="42" t="str">
        <f aca="false">IF(AND(A290&lt;&gt;"",D290&gt;0.005),E290+H290+I290,"")</f>
        <v/>
      </c>
      <c r="K290" s="42" t="str">
        <f aca="false">IF(AND(A290&lt;&gt;"",D290&gt;0.005),ROUND(D290-G290-H290-I290,2),"")</f>
        <v/>
      </c>
      <c r="L290" s="41" t="str">
        <f aca="false">IF(AND(A290&lt;&gt;"",D290&gt;0.005),L289+F290,"")</f>
        <v/>
      </c>
      <c r="M290" s="41" t="str">
        <f aca="false">IF(AND(A290&lt;&gt;"",D290&gt;0.005),M289+G290+H290+I290,"")</f>
        <v/>
      </c>
      <c r="N290" s="43" t="str">
        <f aca="false">IF(B290="","",YEAR(B290))</f>
        <v/>
      </c>
      <c r="O290" s="44" t="n">
        <f aca="false">IF(AND(A290&lt;&gt;"",D290&gt;0.005),J290,0)</f>
        <v>0</v>
      </c>
      <c r="P290" s="44" t="n">
        <f aca="false">R289</f>
        <v>0</v>
      </c>
      <c r="Q290" s="44" t="n">
        <f aca="false">IF(AND(P290&gt;0.005,283&lt;=NPer),ROUND(P290*RP,2),0)</f>
        <v>0</v>
      </c>
      <c r="R290" s="44" t="n">
        <f aca="false">IF(AND(P290&gt;0.005,283&lt;=NPer),ROUND(P290-IF(283&lt;=Grace,0,IF(283=NPer,P290,IF(Method="Equal principal (reducing payments)",MIN(ROUND(EqPrin,2),P290),MIN(ROUND(Annuity-Q290,2),P290)))),2),0)</f>
        <v>0</v>
      </c>
    </row>
    <row r="291" customFormat="false" ht="15" hidden="false" customHeight="false" outlineLevel="0" collapsed="false">
      <c r="A291" s="38" t="str">
        <f aca="false">IF(AND(N(K290)&gt;0.005,A290&lt;NPer),A290+1,"")</f>
        <v/>
      </c>
      <c r="B291" s="39" t="str">
        <f aca="false">IF(A291="","",EDATE(Disb,A291*MPP))</f>
        <v/>
      </c>
      <c r="C291" s="40" t="str">
        <f aca="false">IF(A291="","",IF(A291&lt;=Grace,"Grace","Repayment"))</f>
        <v/>
      </c>
      <c r="D291" s="41" t="str">
        <f aca="false">IF(A291="","",K290)</f>
        <v/>
      </c>
      <c r="E291" s="41" t="str">
        <f aca="false">IF(AND(A291&lt;&gt;"",D291&gt;0.005),F291+G291,"")</f>
        <v/>
      </c>
      <c r="F291" s="41" t="str">
        <f aca="false">IF(AND(A291&lt;&gt;"",D291&gt;0.005),ROUND(D291*RP,2),"")</f>
        <v/>
      </c>
      <c r="G291" s="41" t="str">
        <f aca="false">IF(AND(A291&lt;&gt;"",D291&gt;0.005),IF(A291&lt;=Grace,0,IF(A291=NPer,D291,IF(Method="Equal principal (reducing payments)",MIN(ROUND(EqPrin,2),D291),MIN(ROUND(Annuity-F291,2),D291)))),"")</f>
        <v/>
      </c>
      <c r="H291" s="41" t="str">
        <f aca="false">IF(AND(A291&lt;&gt;"",D291&gt;0.005),IF(A291&lt;=Grace,0,MIN(Extra,D291-G291)),"")</f>
        <v/>
      </c>
      <c r="I291" s="41" t="str">
        <f aca="false">IF(AND(A291&lt;&gt;"",D291&gt;0.005),MIN(SUMIF(LumpN,A291,LumpAmt),D291-G291-H291),"")</f>
        <v/>
      </c>
      <c r="J291" s="42" t="str">
        <f aca="false">IF(AND(A291&lt;&gt;"",D291&gt;0.005),E291+H291+I291,"")</f>
        <v/>
      </c>
      <c r="K291" s="42" t="str">
        <f aca="false">IF(AND(A291&lt;&gt;"",D291&gt;0.005),ROUND(D291-G291-H291-I291,2),"")</f>
        <v/>
      </c>
      <c r="L291" s="41" t="str">
        <f aca="false">IF(AND(A291&lt;&gt;"",D291&gt;0.005),L290+F291,"")</f>
        <v/>
      </c>
      <c r="M291" s="41" t="str">
        <f aca="false">IF(AND(A291&lt;&gt;"",D291&gt;0.005),M290+G291+H291+I291,"")</f>
        <v/>
      </c>
      <c r="N291" s="43" t="str">
        <f aca="false">IF(B291="","",YEAR(B291))</f>
        <v/>
      </c>
      <c r="O291" s="44" t="n">
        <f aca="false">IF(AND(A291&lt;&gt;"",D291&gt;0.005),J291,0)</f>
        <v>0</v>
      </c>
      <c r="P291" s="44" t="n">
        <f aca="false">R290</f>
        <v>0</v>
      </c>
      <c r="Q291" s="44" t="n">
        <f aca="false">IF(AND(P291&gt;0.005,284&lt;=NPer),ROUND(P291*RP,2),0)</f>
        <v>0</v>
      </c>
      <c r="R291" s="44" t="n">
        <f aca="false">IF(AND(P291&gt;0.005,284&lt;=NPer),ROUND(P291-IF(284&lt;=Grace,0,IF(284=NPer,P291,IF(Method="Equal principal (reducing payments)",MIN(ROUND(EqPrin,2),P291),MIN(ROUND(Annuity-Q291,2),P291)))),2),0)</f>
        <v>0</v>
      </c>
    </row>
    <row r="292" customFormat="false" ht="15" hidden="false" customHeight="false" outlineLevel="0" collapsed="false">
      <c r="A292" s="38" t="str">
        <f aca="false">IF(AND(N(K291)&gt;0.005,A291&lt;NPer),A291+1,"")</f>
        <v/>
      </c>
      <c r="B292" s="39" t="str">
        <f aca="false">IF(A292="","",EDATE(Disb,A292*MPP))</f>
        <v/>
      </c>
      <c r="C292" s="40" t="str">
        <f aca="false">IF(A292="","",IF(A292&lt;=Grace,"Grace","Repayment"))</f>
        <v/>
      </c>
      <c r="D292" s="41" t="str">
        <f aca="false">IF(A292="","",K291)</f>
        <v/>
      </c>
      <c r="E292" s="41" t="str">
        <f aca="false">IF(AND(A292&lt;&gt;"",D292&gt;0.005),F292+G292,"")</f>
        <v/>
      </c>
      <c r="F292" s="41" t="str">
        <f aca="false">IF(AND(A292&lt;&gt;"",D292&gt;0.005),ROUND(D292*RP,2),"")</f>
        <v/>
      </c>
      <c r="G292" s="41" t="str">
        <f aca="false">IF(AND(A292&lt;&gt;"",D292&gt;0.005),IF(A292&lt;=Grace,0,IF(A292=NPer,D292,IF(Method="Equal principal (reducing payments)",MIN(ROUND(EqPrin,2),D292),MIN(ROUND(Annuity-F292,2),D292)))),"")</f>
        <v/>
      </c>
      <c r="H292" s="41" t="str">
        <f aca="false">IF(AND(A292&lt;&gt;"",D292&gt;0.005),IF(A292&lt;=Grace,0,MIN(Extra,D292-G292)),"")</f>
        <v/>
      </c>
      <c r="I292" s="41" t="str">
        <f aca="false">IF(AND(A292&lt;&gt;"",D292&gt;0.005),MIN(SUMIF(LumpN,A292,LumpAmt),D292-G292-H292),"")</f>
        <v/>
      </c>
      <c r="J292" s="42" t="str">
        <f aca="false">IF(AND(A292&lt;&gt;"",D292&gt;0.005),E292+H292+I292,"")</f>
        <v/>
      </c>
      <c r="K292" s="42" t="str">
        <f aca="false">IF(AND(A292&lt;&gt;"",D292&gt;0.005),ROUND(D292-G292-H292-I292,2),"")</f>
        <v/>
      </c>
      <c r="L292" s="41" t="str">
        <f aca="false">IF(AND(A292&lt;&gt;"",D292&gt;0.005),L291+F292,"")</f>
        <v/>
      </c>
      <c r="M292" s="41" t="str">
        <f aca="false">IF(AND(A292&lt;&gt;"",D292&gt;0.005),M291+G292+H292+I292,"")</f>
        <v/>
      </c>
      <c r="N292" s="43" t="str">
        <f aca="false">IF(B292="","",YEAR(B292))</f>
        <v/>
      </c>
      <c r="O292" s="44" t="n">
        <f aca="false">IF(AND(A292&lt;&gt;"",D292&gt;0.005),J292,0)</f>
        <v>0</v>
      </c>
      <c r="P292" s="44" t="n">
        <f aca="false">R291</f>
        <v>0</v>
      </c>
      <c r="Q292" s="44" t="n">
        <f aca="false">IF(AND(P292&gt;0.005,285&lt;=NPer),ROUND(P292*RP,2),0)</f>
        <v>0</v>
      </c>
      <c r="R292" s="44" t="n">
        <f aca="false">IF(AND(P292&gt;0.005,285&lt;=NPer),ROUND(P292-IF(285&lt;=Grace,0,IF(285=NPer,P292,IF(Method="Equal principal (reducing payments)",MIN(ROUND(EqPrin,2),P292),MIN(ROUND(Annuity-Q292,2),P292)))),2),0)</f>
        <v>0</v>
      </c>
    </row>
    <row r="293" customFormat="false" ht="15" hidden="false" customHeight="false" outlineLevel="0" collapsed="false">
      <c r="A293" s="38" t="str">
        <f aca="false">IF(AND(N(K292)&gt;0.005,A292&lt;NPer),A292+1,"")</f>
        <v/>
      </c>
      <c r="B293" s="39" t="str">
        <f aca="false">IF(A293="","",EDATE(Disb,A293*MPP))</f>
        <v/>
      </c>
      <c r="C293" s="40" t="str">
        <f aca="false">IF(A293="","",IF(A293&lt;=Grace,"Grace","Repayment"))</f>
        <v/>
      </c>
      <c r="D293" s="41" t="str">
        <f aca="false">IF(A293="","",K292)</f>
        <v/>
      </c>
      <c r="E293" s="41" t="str">
        <f aca="false">IF(AND(A293&lt;&gt;"",D293&gt;0.005),F293+G293,"")</f>
        <v/>
      </c>
      <c r="F293" s="41" t="str">
        <f aca="false">IF(AND(A293&lt;&gt;"",D293&gt;0.005),ROUND(D293*RP,2),"")</f>
        <v/>
      </c>
      <c r="G293" s="41" t="str">
        <f aca="false">IF(AND(A293&lt;&gt;"",D293&gt;0.005),IF(A293&lt;=Grace,0,IF(A293=NPer,D293,IF(Method="Equal principal (reducing payments)",MIN(ROUND(EqPrin,2),D293),MIN(ROUND(Annuity-F293,2),D293)))),"")</f>
        <v/>
      </c>
      <c r="H293" s="41" t="str">
        <f aca="false">IF(AND(A293&lt;&gt;"",D293&gt;0.005),IF(A293&lt;=Grace,0,MIN(Extra,D293-G293)),"")</f>
        <v/>
      </c>
      <c r="I293" s="41" t="str">
        <f aca="false">IF(AND(A293&lt;&gt;"",D293&gt;0.005),MIN(SUMIF(LumpN,A293,LumpAmt),D293-G293-H293),"")</f>
        <v/>
      </c>
      <c r="J293" s="42" t="str">
        <f aca="false">IF(AND(A293&lt;&gt;"",D293&gt;0.005),E293+H293+I293,"")</f>
        <v/>
      </c>
      <c r="K293" s="42" t="str">
        <f aca="false">IF(AND(A293&lt;&gt;"",D293&gt;0.005),ROUND(D293-G293-H293-I293,2),"")</f>
        <v/>
      </c>
      <c r="L293" s="41" t="str">
        <f aca="false">IF(AND(A293&lt;&gt;"",D293&gt;0.005),L292+F293,"")</f>
        <v/>
      </c>
      <c r="M293" s="41" t="str">
        <f aca="false">IF(AND(A293&lt;&gt;"",D293&gt;0.005),M292+G293+H293+I293,"")</f>
        <v/>
      </c>
      <c r="N293" s="43" t="str">
        <f aca="false">IF(B293="","",YEAR(B293))</f>
        <v/>
      </c>
      <c r="O293" s="44" t="n">
        <f aca="false">IF(AND(A293&lt;&gt;"",D293&gt;0.005),J293,0)</f>
        <v>0</v>
      </c>
      <c r="P293" s="44" t="n">
        <f aca="false">R292</f>
        <v>0</v>
      </c>
      <c r="Q293" s="44" t="n">
        <f aca="false">IF(AND(P293&gt;0.005,286&lt;=NPer),ROUND(P293*RP,2),0)</f>
        <v>0</v>
      </c>
      <c r="R293" s="44" t="n">
        <f aca="false">IF(AND(P293&gt;0.005,286&lt;=NPer),ROUND(P293-IF(286&lt;=Grace,0,IF(286=NPer,P293,IF(Method="Equal principal (reducing payments)",MIN(ROUND(EqPrin,2),P293),MIN(ROUND(Annuity-Q293,2),P293)))),2),0)</f>
        <v>0</v>
      </c>
    </row>
    <row r="294" customFormat="false" ht="15" hidden="false" customHeight="false" outlineLevel="0" collapsed="false">
      <c r="A294" s="38" t="str">
        <f aca="false">IF(AND(N(K293)&gt;0.005,A293&lt;NPer),A293+1,"")</f>
        <v/>
      </c>
      <c r="B294" s="39" t="str">
        <f aca="false">IF(A294="","",EDATE(Disb,A294*MPP))</f>
        <v/>
      </c>
      <c r="C294" s="40" t="str">
        <f aca="false">IF(A294="","",IF(A294&lt;=Grace,"Grace","Repayment"))</f>
        <v/>
      </c>
      <c r="D294" s="41" t="str">
        <f aca="false">IF(A294="","",K293)</f>
        <v/>
      </c>
      <c r="E294" s="41" t="str">
        <f aca="false">IF(AND(A294&lt;&gt;"",D294&gt;0.005),F294+G294,"")</f>
        <v/>
      </c>
      <c r="F294" s="41" t="str">
        <f aca="false">IF(AND(A294&lt;&gt;"",D294&gt;0.005),ROUND(D294*RP,2),"")</f>
        <v/>
      </c>
      <c r="G294" s="41" t="str">
        <f aca="false">IF(AND(A294&lt;&gt;"",D294&gt;0.005),IF(A294&lt;=Grace,0,IF(A294=NPer,D294,IF(Method="Equal principal (reducing payments)",MIN(ROUND(EqPrin,2),D294),MIN(ROUND(Annuity-F294,2),D294)))),"")</f>
        <v/>
      </c>
      <c r="H294" s="41" t="str">
        <f aca="false">IF(AND(A294&lt;&gt;"",D294&gt;0.005),IF(A294&lt;=Grace,0,MIN(Extra,D294-G294)),"")</f>
        <v/>
      </c>
      <c r="I294" s="41" t="str">
        <f aca="false">IF(AND(A294&lt;&gt;"",D294&gt;0.005),MIN(SUMIF(LumpN,A294,LumpAmt),D294-G294-H294),"")</f>
        <v/>
      </c>
      <c r="J294" s="42" t="str">
        <f aca="false">IF(AND(A294&lt;&gt;"",D294&gt;0.005),E294+H294+I294,"")</f>
        <v/>
      </c>
      <c r="K294" s="42" t="str">
        <f aca="false">IF(AND(A294&lt;&gt;"",D294&gt;0.005),ROUND(D294-G294-H294-I294,2),"")</f>
        <v/>
      </c>
      <c r="L294" s="41" t="str">
        <f aca="false">IF(AND(A294&lt;&gt;"",D294&gt;0.005),L293+F294,"")</f>
        <v/>
      </c>
      <c r="M294" s="41" t="str">
        <f aca="false">IF(AND(A294&lt;&gt;"",D294&gt;0.005),M293+G294+H294+I294,"")</f>
        <v/>
      </c>
      <c r="N294" s="43" t="str">
        <f aca="false">IF(B294="","",YEAR(B294))</f>
        <v/>
      </c>
      <c r="O294" s="44" t="n">
        <f aca="false">IF(AND(A294&lt;&gt;"",D294&gt;0.005),J294,0)</f>
        <v>0</v>
      </c>
      <c r="P294" s="44" t="n">
        <f aca="false">R293</f>
        <v>0</v>
      </c>
      <c r="Q294" s="44" t="n">
        <f aca="false">IF(AND(P294&gt;0.005,287&lt;=NPer),ROUND(P294*RP,2),0)</f>
        <v>0</v>
      </c>
      <c r="R294" s="44" t="n">
        <f aca="false">IF(AND(P294&gt;0.005,287&lt;=NPer),ROUND(P294-IF(287&lt;=Grace,0,IF(287=NPer,P294,IF(Method="Equal principal (reducing payments)",MIN(ROUND(EqPrin,2),P294),MIN(ROUND(Annuity-Q294,2),P294)))),2),0)</f>
        <v>0</v>
      </c>
    </row>
    <row r="295" customFormat="false" ht="15" hidden="false" customHeight="false" outlineLevel="0" collapsed="false">
      <c r="A295" s="38" t="str">
        <f aca="false">IF(AND(N(K294)&gt;0.005,A294&lt;NPer),A294+1,"")</f>
        <v/>
      </c>
      <c r="B295" s="39" t="str">
        <f aca="false">IF(A295="","",EDATE(Disb,A295*MPP))</f>
        <v/>
      </c>
      <c r="C295" s="40" t="str">
        <f aca="false">IF(A295="","",IF(A295&lt;=Grace,"Grace","Repayment"))</f>
        <v/>
      </c>
      <c r="D295" s="41" t="str">
        <f aca="false">IF(A295="","",K294)</f>
        <v/>
      </c>
      <c r="E295" s="41" t="str">
        <f aca="false">IF(AND(A295&lt;&gt;"",D295&gt;0.005),F295+G295,"")</f>
        <v/>
      </c>
      <c r="F295" s="41" t="str">
        <f aca="false">IF(AND(A295&lt;&gt;"",D295&gt;0.005),ROUND(D295*RP,2),"")</f>
        <v/>
      </c>
      <c r="G295" s="41" t="str">
        <f aca="false">IF(AND(A295&lt;&gt;"",D295&gt;0.005),IF(A295&lt;=Grace,0,IF(A295=NPer,D295,IF(Method="Equal principal (reducing payments)",MIN(ROUND(EqPrin,2),D295),MIN(ROUND(Annuity-F295,2),D295)))),"")</f>
        <v/>
      </c>
      <c r="H295" s="41" t="str">
        <f aca="false">IF(AND(A295&lt;&gt;"",D295&gt;0.005),IF(A295&lt;=Grace,0,MIN(Extra,D295-G295)),"")</f>
        <v/>
      </c>
      <c r="I295" s="41" t="str">
        <f aca="false">IF(AND(A295&lt;&gt;"",D295&gt;0.005),MIN(SUMIF(LumpN,A295,LumpAmt),D295-G295-H295),"")</f>
        <v/>
      </c>
      <c r="J295" s="42" t="str">
        <f aca="false">IF(AND(A295&lt;&gt;"",D295&gt;0.005),E295+H295+I295,"")</f>
        <v/>
      </c>
      <c r="K295" s="42" t="str">
        <f aca="false">IF(AND(A295&lt;&gt;"",D295&gt;0.005),ROUND(D295-G295-H295-I295,2),"")</f>
        <v/>
      </c>
      <c r="L295" s="41" t="str">
        <f aca="false">IF(AND(A295&lt;&gt;"",D295&gt;0.005),L294+F295,"")</f>
        <v/>
      </c>
      <c r="M295" s="41" t="str">
        <f aca="false">IF(AND(A295&lt;&gt;"",D295&gt;0.005),M294+G295+H295+I295,"")</f>
        <v/>
      </c>
      <c r="N295" s="43" t="str">
        <f aca="false">IF(B295="","",YEAR(B295))</f>
        <v/>
      </c>
      <c r="O295" s="44" t="n">
        <f aca="false">IF(AND(A295&lt;&gt;"",D295&gt;0.005),J295,0)</f>
        <v>0</v>
      </c>
      <c r="P295" s="44" t="n">
        <f aca="false">R294</f>
        <v>0</v>
      </c>
      <c r="Q295" s="44" t="n">
        <f aca="false">IF(AND(P295&gt;0.005,288&lt;=NPer),ROUND(P295*RP,2),0)</f>
        <v>0</v>
      </c>
      <c r="R295" s="44" t="n">
        <f aca="false">IF(AND(P295&gt;0.005,288&lt;=NPer),ROUND(P295-IF(288&lt;=Grace,0,IF(288=NPer,P295,IF(Method="Equal principal (reducing payments)",MIN(ROUND(EqPrin,2),P295),MIN(ROUND(Annuity-Q295,2),P295)))),2),0)</f>
        <v>0</v>
      </c>
    </row>
    <row r="296" customFormat="false" ht="15" hidden="false" customHeight="false" outlineLevel="0" collapsed="false">
      <c r="A296" s="38" t="str">
        <f aca="false">IF(AND(N(K295)&gt;0.005,A295&lt;NPer),A295+1,"")</f>
        <v/>
      </c>
      <c r="B296" s="39" t="str">
        <f aca="false">IF(A296="","",EDATE(Disb,A296*MPP))</f>
        <v/>
      </c>
      <c r="C296" s="40" t="str">
        <f aca="false">IF(A296="","",IF(A296&lt;=Grace,"Grace","Repayment"))</f>
        <v/>
      </c>
      <c r="D296" s="41" t="str">
        <f aca="false">IF(A296="","",K295)</f>
        <v/>
      </c>
      <c r="E296" s="41" t="str">
        <f aca="false">IF(AND(A296&lt;&gt;"",D296&gt;0.005),F296+G296,"")</f>
        <v/>
      </c>
      <c r="F296" s="41" t="str">
        <f aca="false">IF(AND(A296&lt;&gt;"",D296&gt;0.005),ROUND(D296*RP,2),"")</f>
        <v/>
      </c>
      <c r="G296" s="41" t="str">
        <f aca="false">IF(AND(A296&lt;&gt;"",D296&gt;0.005),IF(A296&lt;=Grace,0,IF(A296=NPer,D296,IF(Method="Equal principal (reducing payments)",MIN(ROUND(EqPrin,2),D296),MIN(ROUND(Annuity-F296,2),D296)))),"")</f>
        <v/>
      </c>
      <c r="H296" s="41" t="str">
        <f aca="false">IF(AND(A296&lt;&gt;"",D296&gt;0.005),IF(A296&lt;=Grace,0,MIN(Extra,D296-G296)),"")</f>
        <v/>
      </c>
      <c r="I296" s="41" t="str">
        <f aca="false">IF(AND(A296&lt;&gt;"",D296&gt;0.005),MIN(SUMIF(LumpN,A296,LumpAmt),D296-G296-H296),"")</f>
        <v/>
      </c>
      <c r="J296" s="42" t="str">
        <f aca="false">IF(AND(A296&lt;&gt;"",D296&gt;0.005),E296+H296+I296,"")</f>
        <v/>
      </c>
      <c r="K296" s="42" t="str">
        <f aca="false">IF(AND(A296&lt;&gt;"",D296&gt;0.005),ROUND(D296-G296-H296-I296,2),"")</f>
        <v/>
      </c>
      <c r="L296" s="41" t="str">
        <f aca="false">IF(AND(A296&lt;&gt;"",D296&gt;0.005),L295+F296,"")</f>
        <v/>
      </c>
      <c r="M296" s="41" t="str">
        <f aca="false">IF(AND(A296&lt;&gt;"",D296&gt;0.005),M295+G296+H296+I296,"")</f>
        <v/>
      </c>
      <c r="N296" s="43" t="str">
        <f aca="false">IF(B296="","",YEAR(B296))</f>
        <v/>
      </c>
      <c r="O296" s="44" t="n">
        <f aca="false">IF(AND(A296&lt;&gt;"",D296&gt;0.005),J296,0)</f>
        <v>0</v>
      </c>
      <c r="P296" s="44" t="n">
        <f aca="false">R295</f>
        <v>0</v>
      </c>
      <c r="Q296" s="44" t="n">
        <f aca="false">IF(AND(P296&gt;0.005,289&lt;=NPer),ROUND(P296*RP,2),0)</f>
        <v>0</v>
      </c>
      <c r="R296" s="44" t="n">
        <f aca="false">IF(AND(P296&gt;0.005,289&lt;=NPer),ROUND(P296-IF(289&lt;=Grace,0,IF(289=NPer,P296,IF(Method="Equal principal (reducing payments)",MIN(ROUND(EqPrin,2),P296),MIN(ROUND(Annuity-Q296,2),P296)))),2),0)</f>
        <v>0</v>
      </c>
    </row>
    <row r="297" customFormat="false" ht="15" hidden="false" customHeight="false" outlineLevel="0" collapsed="false">
      <c r="A297" s="38" t="str">
        <f aca="false">IF(AND(N(K296)&gt;0.005,A296&lt;NPer),A296+1,"")</f>
        <v/>
      </c>
      <c r="B297" s="39" t="str">
        <f aca="false">IF(A297="","",EDATE(Disb,A297*MPP))</f>
        <v/>
      </c>
      <c r="C297" s="40" t="str">
        <f aca="false">IF(A297="","",IF(A297&lt;=Grace,"Grace","Repayment"))</f>
        <v/>
      </c>
      <c r="D297" s="41" t="str">
        <f aca="false">IF(A297="","",K296)</f>
        <v/>
      </c>
      <c r="E297" s="41" t="str">
        <f aca="false">IF(AND(A297&lt;&gt;"",D297&gt;0.005),F297+G297,"")</f>
        <v/>
      </c>
      <c r="F297" s="41" t="str">
        <f aca="false">IF(AND(A297&lt;&gt;"",D297&gt;0.005),ROUND(D297*RP,2),"")</f>
        <v/>
      </c>
      <c r="G297" s="41" t="str">
        <f aca="false">IF(AND(A297&lt;&gt;"",D297&gt;0.005),IF(A297&lt;=Grace,0,IF(A297=NPer,D297,IF(Method="Equal principal (reducing payments)",MIN(ROUND(EqPrin,2),D297),MIN(ROUND(Annuity-F297,2),D297)))),"")</f>
        <v/>
      </c>
      <c r="H297" s="41" t="str">
        <f aca="false">IF(AND(A297&lt;&gt;"",D297&gt;0.005),IF(A297&lt;=Grace,0,MIN(Extra,D297-G297)),"")</f>
        <v/>
      </c>
      <c r="I297" s="41" t="str">
        <f aca="false">IF(AND(A297&lt;&gt;"",D297&gt;0.005),MIN(SUMIF(LumpN,A297,LumpAmt),D297-G297-H297),"")</f>
        <v/>
      </c>
      <c r="J297" s="42" t="str">
        <f aca="false">IF(AND(A297&lt;&gt;"",D297&gt;0.005),E297+H297+I297,"")</f>
        <v/>
      </c>
      <c r="K297" s="42" t="str">
        <f aca="false">IF(AND(A297&lt;&gt;"",D297&gt;0.005),ROUND(D297-G297-H297-I297,2),"")</f>
        <v/>
      </c>
      <c r="L297" s="41" t="str">
        <f aca="false">IF(AND(A297&lt;&gt;"",D297&gt;0.005),L296+F297,"")</f>
        <v/>
      </c>
      <c r="M297" s="41" t="str">
        <f aca="false">IF(AND(A297&lt;&gt;"",D297&gt;0.005),M296+G297+H297+I297,"")</f>
        <v/>
      </c>
      <c r="N297" s="43" t="str">
        <f aca="false">IF(B297="","",YEAR(B297))</f>
        <v/>
      </c>
      <c r="O297" s="44" t="n">
        <f aca="false">IF(AND(A297&lt;&gt;"",D297&gt;0.005),J297,0)</f>
        <v>0</v>
      </c>
      <c r="P297" s="44" t="n">
        <f aca="false">R296</f>
        <v>0</v>
      </c>
      <c r="Q297" s="44" t="n">
        <f aca="false">IF(AND(P297&gt;0.005,290&lt;=NPer),ROUND(P297*RP,2),0)</f>
        <v>0</v>
      </c>
      <c r="R297" s="44" t="n">
        <f aca="false">IF(AND(P297&gt;0.005,290&lt;=NPer),ROUND(P297-IF(290&lt;=Grace,0,IF(290=NPer,P297,IF(Method="Equal principal (reducing payments)",MIN(ROUND(EqPrin,2),P297),MIN(ROUND(Annuity-Q297,2),P297)))),2),0)</f>
        <v>0</v>
      </c>
    </row>
    <row r="298" customFormat="false" ht="15" hidden="false" customHeight="false" outlineLevel="0" collapsed="false">
      <c r="A298" s="38" t="str">
        <f aca="false">IF(AND(N(K297)&gt;0.005,A297&lt;NPer),A297+1,"")</f>
        <v/>
      </c>
      <c r="B298" s="39" t="str">
        <f aca="false">IF(A298="","",EDATE(Disb,A298*MPP))</f>
        <v/>
      </c>
      <c r="C298" s="40" t="str">
        <f aca="false">IF(A298="","",IF(A298&lt;=Grace,"Grace","Repayment"))</f>
        <v/>
      </c>
      <c r="D298" s="41" t="str">
        <f aca="false">IF(A298="","",K297)</f>
        <v/>
      </c>
      <c r="E298" s="41" t="str">
        <f aca="false">IF(AND(A298&lt;&gt;"",D298&gt;0.005),F298+G298,"")</f>
        <v/>
      </c>
      <c r="F298" s="41" t="str">
        <f aca="false">IF(AND(A298&lt;&gt;"",D298&gt;0.005),ROUND(D298*RP,2),"")</f>
        <v/>
      </c>
      <c r="G298" s="41" t="str">
        <f aca="false">IF(AND(A298&lt;&gt;"",D298&gt;0.005),IF(A298&lt;=Grace,0,IF(A298=NPer,D298,IF(Method="Equal principal (reducing payments)",MIN(ROUND(EqPrin,2),D298),MIN(ROUND(Annuity-F298,2),D298)))),"")</f>
        <v/>
      </c>
      <c r="H298" s="41" t="str">
        <f aca="false">IF(AND(A298&lt;&gt;"",D298&gt;0.005),IF(A298&lt;=Grace,0,MIN(Extra,D298-G298)),"")</f>
        <v/>
      </c>
      <c r="I298" s="41" t="str">
        <f aca="false">IF(AND(A298&lt;&gt;"",D298&gt;0.005),MIN(SUMIF(LumpN,A298,LumpAmt),D298-G298-H298),"")</f>
        <v/>
      </c>
      <c r="J298" s="42" t="str">
        <f aca="false">IF(AND(A298&lt;&gt;"",D298&gt;0.005),E298+H298+I298,"")</f>
        <v/>
      </c>
      <c r="K298" s="42" t="str">
        <f aca="false">IF(AND(A298&lt;&gt;"",D298&gt;0.005),ROUND(D298-G298-H298-I298,2),"")</f>
        <v/>
      </c>
      <c r="L298" s="41" t="str">
        <f aca="false">IF(AND(A298&lt;&gt;"",D298&gt;0.005),L297+F298,"")</f>
        <v/>
      </c>
      <c r="M298" s="41" t="str">
        <f aca="false">IF(AND(A298&lt;&gt;"",D298&gt;0.005),M297+G298+H298+I298,"")</f>
        <v/>
      </c>
      <c r="N298" s="43" t="str">
        <f aca="false">IF(B298="","",YEAR(B298))</f>
        <v/>
      </c>
      <c r="O298" s="44" t="n">
        <f aca="false">IF(AND(A298&lt;&gt;"",D298&gt;0.005),J298,0)</f>
        <v>0</v>
      </c>
      <c r="P298" s="44" t="n">
        <f aca="false">R297</f>
        <v>0</v>
      </c>
      <c r="Q298" s="44" t="n">
        <f aca="false">IF(AND(P298&gt;0.005,291&lt;=NPer),ROUND(P298*RP,2),0)</f>
        <v>0</v>
      </c>
      <c r="R298" s="44" t="n">
        <f aca="false">IF(AND(P298&gt;0.005,291&lt;=NPer),ROUND(P298-IF(291&lt;=Grace,0,IF(291=NPer,P298,IF(Method="Equal principal (reducing payments)",MIN(ROUND(EqPrin,2),P298),MIN(ROUND(Annuity-Q298,2),P298)))),2),0)</f>
        <v>0</v>
      </c>
    </row>
    <row r="299" customFormat="false" ht="15" hidden="false" customHeight="false" outlineLevel="0" collapsed="false">
      <c r="A299" s="38" t="str">
        <f aca="false">IF(AND(N(K298)&gt;0.005,A298&lt;NPer),A298+1,"")</f>
        <v/>
      </c>
      <c r="B299" s="39" t="str">
        <f aca="false">IF(A299="","",EDATE(Disb,A299*MPP))</f>
        <v/>
      </c>
      <c r="C299" s="40" t="str">
        <f aca="false">IF(A299="","",IF(A299&lt;=Grace,"Grace","Repayment"))</f>
        <v/>
      </c>
      <c r="D299" s="41" t="str">
        <f aca="false">IF(A299="","",K298)</f>
        <v/>
      </c>
      <c r="E299" s="41" t="str">
        <f aca="false">IF(AND(A299&lt;&gt;"",D299&gt;0.005),F299+G299,"")</f>
        <v/>
      </c>
      <c r="F299" s="41" t="str">
        <f aca="false">IF(AND(A299&lt;&gt;"",D299&gt;0.005),ROUND(D299*RP,2),"")</f>
        <v/>
      </c>
      <c r="G299" s="41" t="str">
        <f aca="false">IF(AND(A299&lt;&gt;"",D299&gt;0.005),IF(A299&lt;=Grace,0,IF(A299=NPer,D299,IF(Method="Equal principal (reducing payments)",MIN(ROUND(EqPrin,2),D299),MIN(ROUND(Annuity-F299,2),D299)))),"")</f>
        <v/>
      </c>
      <c r="H299" s="41" t="str">
        <f aca="false">IF(AND(A299&lt;&gt;"",D299&gt;0.005),IF(A299&lt;=Grace,0,MIN(Extra,D299-G299)),"")</f>
        <v/>
      </c>
      <c r="I299" s="41" t="str">
        <f aca="false">IF(AND(A299&lt;&gt;"",D299&gt;0.005),MIN(SUMIF(LumpN,A299,LumpAmt),D299-G299-H299),"")</f>
        <v/>
      </c>
      <c r="J299" s="42" t="str">
        <f aca="false">IF(AND(A299&lt;&gt;"",D299&gt;0.005),E299+H299+I299,"")</f>
        <v/>
      </c>
      <c r="K299" s="42" t="str">
        <f aca="false">IF(AND(A299&lt;&gt;"",D299&gt;0.005),ROUND(D299-G299-H299-I299,2),"")</f>
        <v/>
      </c>
      <c r="L299" s="41" t="str">
        <f aca="false">IF(AND(A299&lt;&gt;"",D299&gt;0.005),L298+F299,"")</f>
        <v/>
      </c>
      <c r="M299" s="41" t="str">
        <f aca="false">IF(AND(A299&lt;&gt;"",D299&gt;0.005),M298+G299+H299+I299,"")</f>
        <v/>
      </c>
      <c r="N299" s="43" t="str">
        <f aca="false">IF(B299="","",YEAR(B299))</f>
        <v/>
      </c>
      <c r="O299" s="44" t="n">
        <f aca="false">IF(AND(A299&lt;&gt;"",D299&gt;0.005),J299,0)</f>
        <v>0</v>
      </c>
      <c r="P299" s="44" t="n">
        <f aca="false">R298</f>
        <v>0</v>
      </c>
      <c r="Q299" s="44" t="n">
        <f aca="false">IF(AND(P299&gt;0.005,292&lt;=NPer),ROUND(P299*RP,2),0)</f>
        <v>0</v>
      </c>
      <c r="R299" s="44" t="n">
        <f aca="false">IF(AND(P299&gt;0.005,292&lt;=NPer),ROUND(P299-IF(292&lt;=Grace,0,IF(292=NPer,P299,IF(Method="Equal principal (reducing payments)",MIN(ROUND(EqPrin,2),P299),MIN(ROUND(Annuity-Q299,2),P299)))),2),0)</f>
        <v>0</v>
      </c>
    </row>
    <row r="300" customFormat="false" ht="15" hidden="false" customHeight="false" outlineLevel="0" collapsed="false">
      <c r="A300" s="38" t="str">
        <f aca="false">IF(AND(N(K299)&gt;0.005,A299&lt;NPer),A299+1,"")</f>
        <v/>
      </c>
      <c r="B300" s="39" t="str">
        <f aca="false">IF(A300="","",EDATE(Disb,A300*MPP))</f>
        <v/>
      </c>
      <c r="C300" s="40" t="str">
        <f aca="false">IF(A300="","",IF(A300&lt;=Grace,"Grace","Repayment"))</f>
        <v/>
      </c>
      <c r="D300" s="41" t="str">
        <f aca="false">IF(A300="","",K299)</f>
        <v/>
      </c>
      <c r="E300" s="41" t="str">
        <f aca="false">IF(AND(A300&lt;&gt;"",D300&gt;0.005),F300+G300,"")</f>
        <v/>
      </c>
      <c r="F300" s="41" t="str">
        <f aca="false">IF(AND(A300&lt;&gt;"",D300&gt;0.005),ROUND(D300*RP,2),"")</f>
        <v/>
      </c>
      <c r="G300" s="41" t="str">
        <f aca="false">IF(AND(A300&lt;&gt;"",D300&gt;0.005),IF(A300&lt;=Grace,0,IF(A300=NPer,D300,IF(Method="Equal principal (reducing payments)",MIN(ROUND(EqPrin,2),D300),MIN(ROUND(Annuity-F300,2),D300)))),"")</f>
        <v/>
      </c>
      <c r="H300" s="41" t="str">
        <f aca="false">IF(AND(A300&lt;&gt;"",D300&gt;0.005),IF(A300&lt;=Grace,0,MIN(Extra,D300-G300)),"")</f>
        <v/>
      </c>
      <c r="I300" s="41" t="str">
        <f aca="false">IF(AND(A300&lt;&gt;"",D300&gt;0.005),MIN(SUMIF(LumpN,A300,LumpAmt),D300-G300-H300),"")</f>
        <v/>
      </c>
      <c r="J300" s="42" t="str">
        <f aca="false">IF(AND(A300&lt;&gt;"",D300&gt;0.005),E300+H300+I300,"")</f>
        <v/>
      </c>
      <c r="K300" s="42" t="str">
        <f aca="false">IF(AND(A300&lt;&gt;"",D300&gt;0.005),ROUND(D300-G300-H300-I300,2),"")</f>
        <v/>
      </c>
      <c r="L300" s="41" t="str">
        <f aca="false">IF(AND(A300&lt;&gt;"",D300&gt;0.005),L299+F300,"")</f>
        <v/>
      </c>
      <c r="M300" s="41" t="str">
        <f aca="false">IF(AND(A300&lt;&gt;"",D300&gt;0.005),M299+G300+H300+I300,"")</f>
        <v/>
      </c>
      <c r="N300" s="43" t="str">
        <f aca="false">IF(B300="","",YEAR(B300))</f>
        <v/>
      </c>
      <c r="O300" s="44" t="n">
        <f aca="false">IF(AND(A300&lt;&gt;"",D300&gt;0.005),J300,0)</f>
        <v>0</v>
      </c>
      <c r="P300" s="44" t="n">
        <f aca="false">R299</f>
        <v>0</v>
      </c>
      <c r="Q300" s="44" t="n">
        <f aca="false">IF(AND(P300&gt;0.005,293&lt;=NPer),ROUND(P300*RP,2),0)</f>
        <v>0</v>
      </c>
      <c r="R300" s="44" t="n">
        <f aca="false">IF(AND(P300&gt;0.005,293&lt;=NPer),ROUND(P300-IF(293&lt;=Grace,0,IF(293=NPer,P300,IF(Method="Equal principal (reducing payments)",MIN(ROUND(EqPrin,2),P300),MIN(ROUND(Annuity-Q300,2),P300)))),2),0)</f>
        <v>0</v>
      </c>
    </row>
    <row r="301" customFormat="false" ht="15" hidden="false" customHeight="false" outlineLevel="0" collapsed="false">
      <c r="A301" s="38" t="str">
        <f aca="false">IF(AND(N(K300)&gt;0.005,A300&lt;NPer),A300+1,"")</f>
        <v/>
      </c>
      <c r="B301" s="39" t="str">
        <f aca="false">IF(A301="","",EDATE(Disb,A301*MPP))</f>
        <v/>
      </c>
      <c r="C301" s="40" t="str">
        <f aca="false">IF(A301="","",IF(A301&lt;=Grace,"Grace","Repayment"))</f>
        <v/>
      </c>
      <c r="D301" s="41" t="str">
        <f aca="false">IF(A301="","",K300)</f>
        <v/>
      </c>
      <c r="E301" s="41" t="str">
        <f aca="false">IF(AND(A301&lt;&gt;"",D301&gt;0.005),F301+G301,"")</f>
        <v/>
      </c>
      <c r="F301" s="41" t="str">
        <f aca="false">IF(AND(A301&lt;&gt;"",D301&gt;0.005),ROUND(D301*RP,2),"")</f>
        <v/>
      </c>
      <c r="G301" s="41" t="str">
        <f aca="false">IF(AND(A301&lt;&gt;"",D301&gt;0.005),IF(A301&lt;=Grace,0,IF(A301=NPer,D301,IF(Method="Equal principal (reducing payments)",MIN(ROUND(EqPrin,2),D301),MIN(ROUND(Annuity-F301,2),D301)))),"")</f>
        <v/>
      </c>
      <c r="H301" s="41" t="str">
        <f aca="false">IF(AND(A301&lt;&gt;"",D301&gt;0.005),IF(A301&lt;=Grace,0,MIN(Extra,D301-G301)),"")</f>
        <v/>
      </c>
      <c r="I301" s="41" t="str">
        <f aca="false">IF(AND(A301&lt;&gt;"",D301&gt;0.005),MIN(SUMIF(LumpN,A301,LumpAmt),D301-G301-H301),"")</f>
        <v/>
      </c>
      <c r="J301" s="42" t="str">
        <f aca="false">IF(AND(A301&lt;&gt;"",D301&gt;0.005),E301+H301+I301,"")</f>
        <v/>
      </c>
      <c r="K301" s="42" t="str">
        <f aca="false">IF(AND(A301&lt;&gt;"",D301&gt;0.005),ROUND(D301-G301-H301-I301,2),"")</f>
        <v/>
      </c>
      <c r="L301" s="41" t="str">
        <f aca="false">IF(AND(A301&lt;&gt;"",D301&gt;0.005),L300+F301,"")</f>
        <v/>
      </c>
      <c r="M301" s="41" t="str">
        <f aca="false">IF(AND(A301&lt;&gt;"",D301&gt;0.005),M300+G301+H301+I301,"")</f>
        <v/>
      </c>
      <c r="N301" s="43" t="str">
        <f aca="false">IF(B301="","",YEAR(B301))</f>
        <v/>
      </c>
      <c r="O301" s="44" t="n">
        <f aca="false">IF(AND(A301&lt;&gt;"",D301&gt;0.005),J301,0)</f>
        <v>0</v>
      </c>
      <c r="P301" s="44" t="n">
        <f aca="false">R300</f>
        <v>0</v>
      </c>
      <c r="Q301" s="44" t="n">
        <f aca="false">IF(AND(P301&gt;0.005,294&lt;=NPer),ROUND(P301*RP,2),0)</f>
        <v>0</v>
      </c>
      <c r="R301" s="44" t="n">
        <f aca="false">IF(AND(P301&gt;0.005,294&lt;=NPer),ROUND(P301-IF(294&lt;=Grace,0,IF(294=NPer,P301,IF(Method="Equal principal (reducing payments)",MIN(ROUND(EqPrin,2),P301),MIN(ROUND(Annuity-Q301,2),P301)))),2),0)</f>
        <v>0</v>
      </c>
    </row>
    <row r="302" customFormat="false" ht="15" hidden="false" customHeight="false" outlineLevel="0" collapsed="false">
      <c r="A302" s="38" t="str">
        <f aca="false">IF(AND(N(K301)&gt;0.005,A301&lt;NPer),A301+1,"")</f>
        <v/>
      </c>
      <c r="B302" s="39" t="str">
        <f aca="false">IF(A302="","",EDATE(Disb,A302*MPP))</f>
        <v/>
      </c>
      <c r="C302" s="40" t="str">
        <f aca="false">IF(A302="","",IF(A302&lt;=Grace,"Grace","Repayment"))</f>
        <v/>
      </c>
      <c r="D302" s="41" t="str">
        <f aca="false">IF(A302="","",K301)</f>
        <v/>
      </c>
      <c r="E302" s="41" t="str">
        <f aca="false">IF(AND(A302&lt;&gt;"",D302&gt;0.005),F302+G302,"")</f>
        <v/>
      </c>
      <c r="F302" s="41" t="str">
        <f aca="false">IF(AND(A302&lt;&gt;"",D302&gt;0.005),ROUND(D302*RP,2),"")</f>
        <v/>
      </c>
      <c r="G302" s="41" t="str">
        <f aca="false">IF(AND(A302&lt;&gt;"",D302&gt;0.005),IF(A302&lt;=Grace,0,IF(A302=NPer,D302,IF(Method="Equal principal (reducing payments)",MIN(ROUND(EqPrin,2),D302),MIN(ROUND(Annuity-F302,2),D302)))),"")</f>
        <v/>
      </c>
      <c r="H302" s="41" t="str">
        <f aca="false">IF(AND(A302&lt;&gt;"",D302&gt;0.005),IF(A302&lt;=Grace,0,MIN(Extra,D302-G302)),"")</f>
        <v/>
      </c>
      <c r="I302" s="41" t="str">
        <f aca="false">IF(AND(A302&lt;&gt;"",D302&gt;0.005),MIN(SUMIF(LumpN,A302,LumpAmt),D302-G302-H302),"")</f>
        <v/>
      </c>
      <c r="J302" s="42" t="str">
        <f aca="false">IF(AND(A302&lt;&gt;"",D302&gt;0.005),E302+H302+I302,"")</f>
        <v/>
      </c>
      <c r="K302" s="42" t="str">
        <f aca="false">IF(AND(A302&lt;&gt;"",D302&gt;0.005),ROUND(D302-G302-H302-I302,2),"")</f>
        <v/>
      </c>
      <c r="L302" s="41" t="str">
        <f aca="false">IF(AND(A302&lt;&gt;"",D302&gt;0.005),L301+F302,"")</f>
        <v/>
      </c>
      <c r="M302" s="41" t="str">
        <f aca="false">IF(AND(A302&lt;&gt;"",D302&gt;0.005),M301+G302+H302+I302,"")</f>
        <v/>
      </c>
      <c r="N302" s="43" t="str">
        <f aca="false">IF(B302="","",YEAR(B302))</f>
        <v/>
      </c>
      <c r="O302" s="44" t="n">
        <f aca="false">IF(AND(A302&lt;&gt;"",D302&gt;0.005),J302,0)</f>
        <v>0</v>
      </c>
      <c r="P302" s="44" t="n">
        <f aca="false">R301</f>
        <v>0</v>
      </c>
      <c r="Q302" s="44" t="n">
        <f aca="false">IF(AND(P302&gt;0.005,295&lt;=NPer),ROUND(P302*RP,2),0)</f>
        <v>0</v>
      </c>
      <c r="R302" s="44" t="n">
        <f aca="false">IF(AND(P302&gt;0.005,295&lt;=NPer),ROUND(P302-IF(295&lt;=Grace,0,IF(295=NPer,P302,IF(Method="Equal principal (reducing payments)",MIN(ROUND(EqPrin,2),P302),MIN(ROUND(Annuity-Q302,2),P302)))),2),0)</f>
        <v>0</v>
      </c>
    </row>
    <row r="303" customFormat="false" ht="15" hidden="false" customHeight="false" outlineLevel="0" collapsed="false">
      <c r="A303" s="38" t="str">
        <f aca="false">IF(AND(N(K302)&gt;0.005,A302&lt;NPer),A302+1,"")</f>
        <v/>
      </c>
      <c r="B303" s="39" t="str">
        <f aca="false">IF(A303="","",EDATE(Disb,A303*MPP))</f>
        <v/>
      </c>
      <c r="C303" s="40" t="str">
        <f aca="false">IF(A303="","",IF(A303&lt;=Grace,"Grace","Repayment"))</f>
        <v/>
      </c>
      <c r="D303" s="41" t="str">
        <f aca="false">IF(A303="","",K302)</f>
        <v/>
      </c>
      <c r="E303" s="41" t="str">
        <f aca="false">IF(AND(A303&lt;&gt;"",D303&gt;0.005),F303+G303,"")</f>
        <v/>
      </c>
      <c r="F303" s="41" t="str">
        <f aca="false">IF(AND(A303&lt;&gt;"",D303&gt;0.005),ROUND(D303*RP,2),"")</f>
        <v/>
      </c>
      <c r="G303" s="41" t="str">
        <f aca="false">IF(AND(A303&lt;&gt;"",D303&gt;0.005),IF(A303&lt;=Grace,0,IF(A303=NPer,D303,IF(Method="Equal principal (reducing payments)",MIN(ROUND(EqPrin,2),D303),MIN(ROUND(Annuity-F303,2),D303)))),"")</f>
        <v/>
      </c>
      <c r="H303" s="41" t="str">
        <f aca="false">IF(AND(A303&lt;&gt;"",D303&gt;0.005),IF(A303&lt;=Grace,0,MIN(Extra,D303-G303)),"")</f>
        <v/>
      </c>
      <c r="I303" s="41" t="str">
        <f aca="false">IF(AND(A303&lt;&gt;"",D303&gt;0.005),MIN(SUMIF(LumpN,A303,LumpAmt),D303-G303-H303),"")</f>
        <v/>
      </c>
      <c r="J303" s="42" t="str">
        <f aca="false">IF(AND(A303&lt;&gt;"",D303&gt;0.005),E303+H303+I303,"")</f>
        <v/>
      </c>
      <c r="K303" s="42" t="str">
        <f aca="false">IF(AND(A303&lt;&gt;"",D303&gt;0.005),ROUND(D303-G303-H303-I303,2),"")</f>
        <v/>
      </c>
      <c r="L303" s="41" t="str">
        <f aca="false">IF(AND(A303&lt;&gt;"",D303&gt;0.005),L302+F303,"")</f>
        <v/>
      </c>
      <c r="M303" s="41" t="str">
        <f aca="false">IF(AND(A303&lt;&gt;"",D303&gt;0.005),M302+G303+H303+I303,"")</f>
        <v/>
      </c>
      <c r="N303" s="43" t="str">
        <f aca="false">IF(B303="","",YEAR(B303))</f>
        <v/>
      </c>
      <c r="O303" s="44" t="n">
        <f aca="false">IF(AND(A303&lt;&gt;"",D303&gt;0.005),J303,0)</f>
        <v>0</v>
      </c>
      <c r="P303" s="44" t="n">
        <f aca="false">R302</f>
        <v>0</v>
      </c>
      <c r="Q303" s="44" t="n">
        <f aca="false">IF(AND(P303&gt;0.005,296&lt;=NPer),ROUND(P303*RP,2),0)</f>
        <v>0</v>
      </c>
      <c r="R303" s="44" t="n">
        <f aca="false">IF(AND(P303&gt;0.005,296&lt;=NPer),ROUND(P303-IF(296&lt;=Grace,0,IF(296=NPer,P303,IF(Method="Equal principal (reducing payments)",MIN(ROUND(EqPrin,2),P303),MIN(ROUND(Annuity-Q303,2),P303)))),2),0)</f>
        <v>0</v>
      </c>
    </row>
    <row r="304" customFormat="false" ht="15" hidden="false" customHeight="false" outlineLevel="0" collapsed="false">
      <c r="A304" s="38" t="str">
        <f aca="false">IF(AND(N(K303)&gt;0.005,A303&lt;NPer),A303+1,"")</f>
        <v/>
      </c>
      <c r="B304" s="39" t="str">
        <f aca="false">IF(A304="","",EDATE(Disb,A304*MPP))</f>
        <v/>
      </c>
      <c r="C304" s="40" t="str">
        <f aca="false">IF(A304="","",IF(A304&lt;=Grace,"Grace","Repayment"))</f>
        <v/>
      </c>
      <c r="D304" s="41" t="str">
        <f aca="false">IF(A304="","",K303)</f>
        <v/>
      </c>
      <c r="E304" s="41" t="str">
        <f aca="false">IF(AND(A304&lt;&gt;"",D304&gt;0.005),F304+G304,"")</f>
        <v/>
      </c>
      <c r="F304" s="41" t="str">
        <f aca="false">IF(AND(A304&lt;&gt;"",D304&gt;0.005),ROUND(D304*RP,2),"")</f>
        <v/>
      </c>
      <c r="G304" s="41" t="str">
        <f aca="false">IF(AND(A304&lt;&gt;"",D304&gt;0.005),IF(A304&lt;=Grace,0,IF(A304=NPer,D304,IF(Method="Equal principal (reducing payments)",MIN(ROUND(EqPrin,2),D304),MIN(ROUND(Annuity-F304,2),D304)))),"")</f>
        <v/>
      </c>
      <c r="H304" s="41" t="str">
        <f aca="false">IF(AND(A304&lt;&gt;"",D304&gt;0.005),IF(A304&lt;=Grace,0,MIN(Extra,D304-G304)),"")</f>
        <v/>
      </c>
      <c r="I304" s="41" t="str">
        <f aca="false">IF(AND(A304&lt;&gt;"",D304&gt;0.005),MIN(SUMIF(LumpN,A304,LumpAmt),D304-G304-H304),"")</f>
        <v/>
      </c>
      <c r="J304" s="42" t="str">
        <f aca="false">IF(AND(A304&lt;&gt;"",D304&gt;0.005),E304+H304+I304,"")</f>
        <v/>
      </c>
      <c r="K304" s="42" t="str">
        <f aca="false">IF(AND(A304&lt;&gt;"",D304&gt;0.005),ROUND(D304-G304-H304-I304,2),"")</f>
        <v/>
      </c>
      <c r="L304" s="41" t="str">
        <f aca="false">IF(AND(A304&lt;&gt;"",D304&gt;0.005),L303+F304,"")</f>
        <v/>
      </c>
      <c r="M304" s="41" t="str">
        <f aca="false">IF(AND(A304&lt;&gt;"",D304&gt;0.005),M303+G304+H304+I304,"")</f>
        <v/>
      </c>
      <c r="N304" s="43" t="str">
        <f aca="false">IF(B304="","",YEAR(B304))</f>
        <v/>
      </c>
      <c r="O304" s="44" t="n">
        <f aca="false">IF(AND(A304&lt;&gt;"",D304&gt;0.005),J304,0)</f>
        <v>0</v>
      </c>
      <c r="P304" s="44" t="n">
        <f aca="false">R303</f>
        <v>0</v>
      </c>
      <c r="Q304" s="44" t="n">
        <f aca="false">IF(AND(P304&gt;0.005,297&lt;=NPer),ROUND(P304*RP,2),0)</f>
        <v>0</v>
      </c>
      <c r="R304" s="44" t="n">
        <f aca="false">IF(AND(P304&gt;0.005,297&lt;=NPer),ROUND(P304-IF(297&lt;=Grace,0,IF(297=NPer,P304,IF(Method="Equal principal (reducing payments)",MIN(ROUND(EqPrin,2),P304),MIN(ROUND(Annuity-Q304,2),P304)))),2),0)</f>
        <v>0</v>
      </c>
    </row>
    <row r="305" customFormat="false" ht="15" hidden="false" customHeight="false" outlineLevel="0" collapsed="false">
      <c r="A305" s="38" t="str">
        <f aca="false">IF(AND(N(K304)&gt;0.005,A304&lt;NPer),A304+1,"")</f>
        <v/>
      </c>
      <c r="B305" s="39" t="str">
        <f aca="false">IF(A305="","",EDATE(Disb,A305*MPP))</f>
        <v/>
      </c>
      <c r="C305" s="40" t="str">
        <f aca="false">IF(A305="","",IF(A305&lt;=Grace,"Grace","Repayment"))</f>
        <v/>
      </c>
      <c r="D305" s="41" t="str">
        <f aca="false">IF(A305="","",K304)</f>
        <v/>
      </c>
      <c r="E305" s="41" t="str">
        <f aca="false">IF(AND(A305&lt;&gt;"",D305&gt;0.005),F305+G305,"")</f>
        <v/>
      </c>
      <c r="F305" s="41" t="str">
        <f aca="false">IF(AND(A305&lt;&gt;"",D305&gt;0.005),ROUND(D305*RP,2),"")</f>
        <v/>
      </c>
      <c r="G305" s="41" t="str">
        <f aca="false">IF(AND(A305&lt;&gt;"",D305&gt;0.005),IF(A305&lt;=Grace,0,IF(A305=NPer,D305,IF(Method="Equal principal (reducing payments)",MIN(ROUND(EqPrin,2),D305),MIN(ROUND(Annuity-F305,2),D305)))),"")</f>
        <v/>
      </c>
      <c r="H305" s="41" t="str">
        <f aca="false">IF(AND(A305&lt;&gt;"",D305&gt;0.005),IF(A305&lt;=Grace,0,MIN(Extra,D305-G305)),"")</f>
        <v/>
      </c>
      <c r="I305" s="41" t="str">
        <f aca="false">IF(AND(A305&lt;&gt;"",D305&gt;0.005),MIN(SUMIF(LumpN,A305,LumpAmt),D305-G305-H305),"")</f>
        <v/>
      </c>
      <c r="J305" s="42" t="str">
        <f aca="false">IF(AND(A305&lt;&gt;"",D305&gt;0.005),E305+H305+I305,"")</f>
        <v/>
      </c>
      <c r="K305" s="42" t="str">
        <f aca="false">IF(AND(A305&lt;&gt;"",D305&gt;0.005),ROUND(D305-G305-H305-I305,2),"")</f>
        <v/>
      </c>
      <c r="L305" s="41" t="str">
        <f aca="false">IF(AND(A305&lt;&gt;"",D305&gt;0.005),L304+F305,"")</f>
        <v/>
      </c>
      <c r="M305" s="41" t="str">
        <f aca="false">IF(AND(A305&lt;&gt;"",D305&gt;0.005),M304+G305+H305+I305,"")</f>
        <v/>
      </c>
      <c r="N305" s="43" t="str">
        <f aca="false">IF(B305="","",YEAR(B305))</f>
        <v/>
      </c>
      <c r="O305" s="44" t="n">
        <f aca="false">IF(AND(A305&lt;&gt;"",D305&gt;0.005),J305,0)</f>
        <v>0</v>
      </c>
      <c r="P305" s="44" t="n">
        <f aca="false">R304</f>
        <v>0</v>
      </c>
      <c r="Q305" s="44" t="n">
        <f aca="false">IF(AND(P305&gt;0.005,298&lt;=NPer),ROUND(P305*RP,2),0)</f>
        <v>0</v>
      </c>
      <c r="R305" s="44" t="n">
        <f aca="false">IF(AND(P305&gt;0.005,298&lt;=NPer),ROUND(P305-IF(298&lt;=Grace,0,IF(298=NPer,P305,IF(Method="Equal principal (reducing payments)",MIN(ROUND(EqPrin,2),P305),MIN(ROUND(Annuity-Q305,2),P305)))),2),0)</f>
        <v>0</v>
      </c>
    </row>
    <row r="306" customFormat="false" ht="15" hidden="false" customHeight="false" outlineLevel="0" collapsed="false">
      <c r="A306" s="38" t="str">
        <f aca="false">IF(AND(N(K305)&gt;0.005,A305&lt;NPer),A305+1,"")</f>
        <v/>
      </c>
      <c r="B306" s="39" t="str">
        <f aca="false">IF(A306="","",EDATE(Disb,A306*MPP))</f>
        <v/>
      </c>
      <c r="C306" s="40" t="str">
        <f aca="false">IF(A306="","",IF(A306&lt;=Grace,"Grace","Repayment"))</f>
        <v/>
      </c>
      <c r="D306" s="41" t="str">
        <f aca="false">IF(A306="","",K305)</f>
        <v/>
      </c>
      <c r="E306" s="41" t="str">
        <f aca="false">IF(AND(A306&lt;&gt;"",D306&gt;0.005),F306+G306,"")</f>
        <v/>
      </c>
      <c r="F306" s="41" t="str">
        <f aca="false">IF(AND(A306&lt;&gt;"",D306&gt;0.005),ROUND(D306*RP,2),"")</f>
        <v/>
      </c>
      <c r="G306" s="41" t="str">
        <f aca="false">IF(AND(A306&lt;&gt;"",D306&gt;0.005),IF(A306&lt;=Grace,0,IF(A306=NPer,D306,IF(Method="Equal principal (reducing payments)",MIN(ROUND(EqPrin,2),D306),MIN(ROUND(Annuity-F306,2),D306)))),"")</f>
        <v/>
      </c>
      <c r="H306" s="41" t="str">
        <f aca="false">IF(AND(A306&lt;&gt;"",D306&gt;0.005),IF(A306&lt;=Grace,0,MIN(Extra,D306-G306)),"")</f>
        <v/>
      </c>
      <c r="I306" s="41" t="str">
        <f aca="false">IF(AND(A306&lt;&gt;"",D306&gt;0.005),MIN(SUMIF(LumpN,A306,LumpAmt),D306-G306-H306),"")</f>
        <v/>
      </c>
      <c r="J306" s="42" t="str">
        <f aca="false">IF(AND(A306&lt;&gt;"",D306&gt;0.005),E306+H306+I306,"")</f>
        <v/>
      </c>
      <c r="K306" s="42" t="str">
        <f aca="false">IF(AND(A306&lt;&gt;"",D306&gt;0.005),ROUND(D306-G306-H306-I306,2),"")</f>
        <v/>
      </c>
      <c r="L306" s="41" t="str">
        <f aca="false">IF(AND(A306&lt;&gt;"",D306&gt;0.005),L305+F306,"")</f>
        <v/>
      </c>
      <c r="M306" s="41" t="str">
        <f aca="false">IF(AND(A306&lt;&gt;"",D306&gt;0.005),M305+G306+H306+I306,"")</f>
        <v/>
      </c>
      <c r="N306" s="43" t="str">
        <f aca="false">IF(B306="","",YEAR(B306))</f>
        <v/>
      </c>
      <c r="O306" s="44" t="n">
        <f aca="false">IF(AND(A306&lt;&gt;"",D306&gt;0.005),J306,0)</f>
        <v>0</v>
      </c>
      <c r="P306" s="44" t="n">
        <f aca="false">R305</f>
        <v>0</v>
      </c>
      <c r="Q306" s="44" t="n">
        <f aca="false">IF(AND(P306&gt;0.005,299&lt;=NPer),ROUND(P306*RP,2),0)</f>
        <v>0</v>
      </c>
      <c r="R306" s="44" t="n">
        <f aca="false">IF(AND(P306&gt;0.005,299&lt;=NPer),ROUND(P306-IF(299&lt;=Grace,0,IF(299=NPer,P306,IF(Method="Equal principal (reducing payments)",MIN(ROUND(EqPrin,2),P306),MIN(ROUND(Annuity-Q306,2),P306)))),2),0)</f>
        <v>0</v>
      </c>
    </row>
    <row r="307" customFormat="false" ht="15" hidden="false" customHeight="false" outlineLevel="0" collapsed="false">
      <c r="A307" s="38" t="str">
        <f aca="false">IF(AND(N(K306)&gt;0.005,A306&lt;NPer),A306+1,"")</f>
        <v/>
      </c>
      <c r="B307" s="39" t="str">
        <f aca="false">IF(A307="","",EDATE(Disb,A307*MPP))</f>
        <v/>
      </c>
      <c r="C307" s="40" t="str">
        <f aca="false">IF(A307="","",IF(A307&lt;=Grace,"Grace","Repayment"))</f>
        <v/>
      </c>
      <c r="D307" s="41" t="str">
        <f aca="false">IF(A307="","",K306)</f>
        <v/>
      </c>
      <c r="E307" s="41" t="str">
        <f aca="false">IF(AND(A307&lt;&gt;"",D307&gt;0.005),F307+G307,"")</f>
        <v/>
      </c>
      <c r="F307" s="41" t="str">
        <f aca="false">IF(AND(A307&lt;&gt;"",D307&gt;0.005),ROUND(D307*RP,2),"")</f>
        <v/>
      </c>
      <c r="G307" s="41" t="str">
        <f aca="false">IF(AND(A307&lt;&gt;"",D307&gt;0.005),IF(A307&lt;=Grace,0,IF(A307=NPer,D307,IF(Method="Equal principal (reducing payments)",MIN(ROUND(EqPrin,2),D307),MIN(ROUND(Annuity-F307,2),D307)))),"")</f>
        <v/>
      </c>
      <c r="H307" s="41" t="str">
        <f aca="false">IF(AND(A307&lt;&gt;"",D307&gt;0.005),IF(A307&lt;=Grace,0,MIN(Extra,D307-G307)),"")</f>
        <v/>
      </c>
      <c r="I307" s="41" t="str">
        <f aca="false">IF(AND(A307&lt;&gt;"",D307&gt;0.005),MIN(SUMIF(LumpN,A307,LumpAmt),D307-G307-H307),"")</f>
        <v/>
      </c>
      <c r="J307" s="42" t="str">
        <f aca="false">IF(AND(A307&lt;&gt;"",D307&gt;0.005),E307+H307+I307,"")</f>
        <v/>
      </c>
      <c r="K307" s="42" t="str">
        <f aca="false">IF(AND(A307&lt;&gt;"",D307&gt;0.005),ROUND(D307-G307-H307-I307,2),"")</f>
        <v/>
      </c>
      <c r="L307" s="41" t="str">
        <f aca="false">IF(AND(A307&lt;&gt;"",D307&gt;0.005),L306+F307,"")</f>
        <v/>
      </c>
      <c r="M307" s="41" t="str">
        <f aca="false">IF(AND(A307&lt;&gt;"",D307&gt;0.005),M306+G307+H307+I307,"")</f>
        <v/>
      </c>
      <c r="N307" s="43" t="str">
        <f aca="false">IF(B307="","",YEAR(B307))</f>
        <v/>
      </c>
      <c r="O307" s="44" t="n">
        <f aca="false">IF(AND(A307&lt;&gt;"",D307&gt;0.005),J307,0)</f>
        <v>0</v>
      </c>
      <c r="P307" s="44" t="n">
        <f aca="false">R306</f>
        <v>0</v>
      </c>
      <c r="Q307" s="44" t="n">
        <f aca="false">IF(AND(P307&gt;0.005,300&lt;=NPer),ROUND(P307*RP,2),0)</f>
        <v>0</v>
      </c>
      <c r="R307" s="44" t="n">
        <f aca="false">IF(AND(P307&gt;0.005,300&lt;=NPer),ROUND(P307-IF(300&lt;=Grace,0,IF(300=NPer,P307,IF(Method="Equal principal (reducing payments)",MIN(ROUND(EqPrin,2),P307),MIN(ROUND(Annuity-Q307,2),P307)))),2),0)</f>
        <v>0</v>
      </c>
    </row>
    <row r="308" customFormat="false" ht="15" hidden="false" customHeight="false" outlineLevel="0" collapsed="false">
      <c r="A308" s="38" t="str">
        <f aca="false">IF(AND(N(K307)&gt;0.005,A307&lt;NPer),A307+1,"")</f>
        <v/>
      </c>
      <c r="B308" s="39" t="str">
        <f aca="false">IF(A308="","",EDATE(Disb,A308*MPP))</f>
        <v/>
      </c>
      <c r="C308" s="40" t="str">
        <f aca="false">IF(A308="","",IF(A308&lt;=Grace,"Grace","Repayment"))</f>
        <v/>
      </c>
      <c r="D308" s="41" t="str">
        <f aca="false">IF(A308="","",K307)</f>
        <v/>
      </c>
      <c r="E308" s="41" t="str">
        <f aca="false">IF(AND(A308&lt;&gt;"",D308&gt;0.005),F308+G308,"")</f>
        <v/>
      </c>
      <c r="F308" s="41" t="str">
        <f aca="false">IF(AND(A308&lt;&gt;"",D308&gt;0.005),ROUND(D308*RP,2),"")</f>
        <v/>
      </c>
      <c r="G308" s="41" t="str">
        <f aca="false">IF(AND(A308&lt;&gt;"",D308&gt;0.005),IF(A308&lt;=Grace,0,IF(A308=NPer,D308,IF(Method="Equal principal (reducing payments)",MIN(ROUND(EqPrin,2),D308),MIN(ROUND(Annuity-F308,2),D308)))),"")</f>
        <v/>
      </c>
      <c r="H308" s="41" t="str">
        <f aca="false">IF(AND(A308&lt;&gt;"",D308&gt;0.005),IF(A308&lt;=Grace,0,MIN(Extra,D308-G308)),"")</f>
        <v/>
      </c>
      <c r="I308" s="41" t="str">
        <f aca="false">IF(AND(A308&lt;&gt;"",D308&gt;0.005),MIN(SUMIF(LumpN,A308,LumpAmt),D308-G308-H308),"")</f>
        <v/>
      </c>
      <c r="J308" s="42" t="str">
        <f aca="false">IF(AND(A308&lt;&gt;"",D308&gt;0.005),E308+H308+I308,"")</f>
        <v/>
      </c>
      <c r="K308" s="42" t="str">
        <f aca="false">IF(AND(A308&lt;&gt;"",D308&gt;0.005),ROUND(D308-G308-H308-I308,2),"")</f>
        <v/>
      </c>
      <c r="L308" s="41" t="str">
        <f aca="false">IF(AND(A308&lt;&gt;"",D308&gt;0.005),L307+F308,"")</f>
        <v/>
      </c>
      <c r="M308" s="41" t="str">
        <f aca="false">IF(AND(A308&lt;&gt;"",D308&gt;0.005),M307+G308+H308+I308,"")</f>
        <v/>
      </c>
      <c r="N308" s="43" t="str">
        <f aca="false">IF(B308="","",YEAR(B308))</f>
        <v/>
      </c>
      <c r="O308" s="44" t="n">
        <f aca="false">IF(AND(A308&lt;&gt;"",D308&gt;0.005),J308,0)</f>
        <v>0</v>
      </c>
      <c r="P308" s="44" t="n">
        <f aca="false">R307</f>
        <v>0</v>
      </c>
      <c r="Q308" s="44" t="n">
        <f aca="false">IF(AND(P308&gt;0.005,301&lt;=NPer),ROUND(P308*RP,2),0)</f>
        <v>0</v>
      </c>
      <c r="R308" s="44" t="n">
        <f aca="false">IF(AND(P308&gt;0.005,301&lt;=NPer),ROUND(P308-IF(301&lt;=Grace,0,IF(301=NPer,P308,IF(Method="Equal principal (reducing payments)",MIN(ROUND(EqPrin,2),P308),MIN(ROUND(Annuity-Q308,2),P308)))),2),0)</f>
        <v>0</v>
      </c>
    </row>
    <row r="309" customFormat="false" ht="15" hidden="false" customHeight="false" outlineLevel="0" collapsed="false">
      <c r="A309" s="38" t="str">
        <f aca="false">IF(AND(N(K308)&gt;0.005,A308&lt;NPer),A308+1,"")</f>
        <v/>
      </c>
      <c r="B309" s="39" t="str">
        <f aca="false">IF(A309="","",EDATE(Disb,A309*MPP))</f>
        <v/>
      </c>
      <c r="C309" s="40" t="str">
        <f aca="false">IF(A309="","",IF(A309&lt;=Grace,"Grace","Repayment"))</f>
        <v/>
      </c>
      <c r="D309" s="41" t="str">
        <f aca="false">IF(A309="","",K308)</f>
        <v/>
      </c>
      <c r="E309" s="41" t="str">
        <f aca="false">IF(AND(A309&lt;&gt;"",D309&gt;0.005),F309+G309,"")</f>
        <v/>
      </c>
      <c r="F309" s="41" t="str">
        <f aca="false">IF(AND(A309&lt;&gt;"",D309&gt;0.005),ROUND(D309*RP,2),"")</f>
        <v/>
      </c>
      <c r="G309" s="41" t="str">
        <f aca="false">IF(AND(A309&lt;&gt;"",D309&gt;0.005),IF(A309&lt;=Grace,0,IF(A309=NPer,D309,IF(Method="Equal principal (reducing payments)",MIN(ROUND(EqPrin,2),D309),MIN(ROUND(Annuity-F309,2),D309)))),"")</f>
        <v/>
      </c>
      <c r="H309" s="41" t="str">
        <f aca="false">IF(AND(A309&lt;&gt;"",D309&gt;0.005),IF(A309&lt;=Grace,0,MIN(Extra,D309-G309)),"")</f>
        <v/>
      </c>
      <c r="I309" s="41" t="str">
        <f aca="false">IF(AND(A309&lt;&gt;"",D309&gt;0.005),MIN(SUMIF(LumpN,A309,LumpAmt),D309-G309-H309),"")</f>
        <v/>
      </c>
      <c r="J309" s="42" t="str">
        <f aca="false">IF(AND(A309&lt;&gt;"",D309&gt;0.005),E309+H309+I309,"")</f>
        <v/>
      </c>
      <c r="K309" s="42" t="str">
        <f aca="false">IF(AND(A309&lt;&gt;"",D309&gt;0.005),ROUND(D309-G309-H309-I309,2),"")</f>
        <v/>
      </c>
      <c r="L309" s="41" t="str">
        <f aca="false">IF(AND(A309&lt;&gt;"",D309&gt;0.005),L308+F309,"")</f>
        <v/>
      </c>
      <c r="M309" s="41" t="str">
        <f aca="false">IF(AND(A309&lt;&gt;"",D309&gt;0.005),M308+G309+H309+I309,"")</f>
        <v/>
      </c>
      <c r="N309" s="43" t="str">
        <f aca="false">IF(B309="","",YEAR(B309))</f>
        <v/>
      </c>
      <c r="O309" s="44" t="n">
        <f aca="false">IF(AND(A309&lt;&gt;"",D309&gt;0.005),J309,0)</f>
        <v>0</v>
      </c>
      <c r="P309" s="44" t="n">
        <f aca="false">R308</f>
        <v>0</v>
      </c>
      <c r="Q309" s="44" t="n">
        <f aca="false">IF(AND(P309&gt;0.005,302&lt;=NPer),ROUND(P309*RP,2),0)</f>
        <v>0</v>
      </c>
      <c r="R309" s="44" t="n">
        <f aca="false">IF(AND(P309&gt;0.005,302&lt;=NPer),ROUND(P309-IF(302&lt;=Grace,0,IF(302=NPer,P309,IF(Method="Equal principal (reducing payments)",MIN(ROUND(EqPrin,2),P309),MIN(ROUND(Annuity-Q309,2),P309)))),2),0)</f>
        <v>0</v>
      </c>
    </row>
    <row r="310" customFormat="false" ht="15" hidden="false" customHeight="false" outlineLevel="0" collapsed="false">
      <c r="A310" s="38" t="str">
        <f aca="false">IF(AND(N(K309)&gt;0.005,A309&lt;NPer),A309+1,"")</f>
        <v/>
      </c>
      <c r="B310" s="39" t="str">
        <f aca="false">IF(A310="","",EDATE(Disb,A310*MPP))</f>
        <v/>
      </c>
      <c r="C310" s="40" t="str">
        <f aca="false">IF(A310="","",IF(A310&lt;=Grace,"Grace","Repayment"))</f>
        <v/>
      </c>
      <c r="D310" s="41" t="str">
        <f aca="false">IF(A310="","",K309)</f>
        <v/>
      </c>
      <c r="E310" s="41" t="str">
        <f aca="false">IF(AND(A310&lt;&gt;"",D310&gt;0.005),F310+G310,"")</f>
        <v/>
      </c>
      <c r="F310" s="41" t="str">
        <f aca="false">IF(AND(A310&lt;&gt;"",D310&gt;0.005),ROUND(D310*RP,2),"")</f>
        <v/>
      </c>
      <c r="G310" s="41" t="str">
        <f aca="false">IF(AND(A310&lt;&gt;"",D310&gt;0.005),IF(A310&lt;=Grace,0,IF(A310=NPer,D310,IF(Method="Equal principal (reducing payments)",MIN(ROUND(EqPrin,2),D310),MIN(ROUND(Annuity-F310,2),D310)))),"")</f>
        <v/>
      </c>
      <c r="H310" s="41" t="str">
        <f aca="false">IF(AND(A310&lt;&gt;"",D310&gt;0.005),IF(A310&lt;=Grace,0,MIN(Extra,D310-G310)),"")</f>
        <v/>
      </c>
      <c r="I310" s="41" t="str">
        <f aca="false">IF(AND(A310&lt;&gt;"",D310&gt;0.005),MIN(SUMIF(LumpN,A310,LumpAmt),D310-G310-H310),"")</f>
        <v/>
      </c>
      <c r="J310" s="42" t="str">
        <f aca="false">IF(AND(A310&lt;&gt;"",D310&gt;0.005),E310+H310+I310,"")</f>
        <v/>
      </c>
      <c r="K310" s="42" t="str">
        <f aca="false">IF(AND(A310&lt;&gt;"",D310&gt;0.005),ROUND(D310-G310-H310-I310,2),"")</f>
        <v/>
      </c>
      <c r="L310" s="41" t="str">
        <f aca="false">IF(AND(A310&lt;&gt;"",D310&gt;0.005),L309+F310,"")</f>
        <v/>
      </c>
      <c r="M310" s="41" t="str">
        <f aca="false">IF(AND(A310&lt;&gt;"",D310&gt;0.005),M309+G310+H310+I310,"")</f>
        <v/>
      </c>
      <c r="N310" s="43" t="str">
        <f aca="false">IF(B310="","",YEAR(B310))</f>
        <v/>
      </c>
      <c r="O310" s="44" t="n">
        <f aca="false">IF(AND(A310&lt;&gt;"",D310&gt;0.005),J310,0)</f>
        <v>0</v>
      </c>
      <c r="P310" s="44" t="n">
        <f aca="false">R309</f>
        <v>0</v>
      </c>
      <c r="Q310" s="44" t="n">
        <f aca="false">IF(AND(P310&gt;0.005,303&lt;=NPer),ROUND(P310*RP,2),0)</f>
        <v>0</v>
      </c>
      <c r="R310" s="44" t="n">
        <f aca="false">IF(AND(P310&gt;0.005,303&lt;=NPer),ROUND(P310-IF(303&lt;=Grace,0,IF(303=NPer,P310,IF(Method="Equal principal (reducing payments)",MIN(ROUND(EqPrin,2),P310),MIN(ROUND(Annuity-Q310,2),P310)))),2),0)</f>
        <v>0</v>
      </c>
    </row>
    <row r="311" customFormat="false" ht="15" hidden="false" customHeight="false" outlineLevel="0" collapsed="false">
      <c r="A311" s="38" t="str">
        <f aca="false">IF(AND(N(K310)&gt;0.005,A310&lt;NPer),A310+1,"")</f>
        <v/>
      </c>
      <c r="B311" s="39" t="str">
        <f aca="false">IF(A311="","",EDATE(Disb,A311*MPP))</f>
        <v/>
      </c>
      <c r="C311" s="40" t="str">
        <f aca="false">IF(A311="","",IF(A311&lt;=Grace,"Grace","Repayment"))</f>
        <v/>
      </c>
      <c r="D311" s="41" t="str">
        <f aca="false">IF(A311="","",K310)</f>
        <v/>
      </c>
      <c r="E311" s="41" t="str">
        <f aca="false">IF(AND(A311&lt;&gt;"",D311&gt;0.005),F311+G311,"")</f>
        <v/>
      </c>
      <c r="F311" s="41" t="str">
        <f aca="false">IF(AND(A311&lt;&gt;"",D311&gt;0.005),ROUND(D311*RP,2),"")</f>
        <v/>
      </c>
      <c r="G311" s="41" t="str">
        <f aca="false">IF(AND(A311&lt;&gt;"",D311&gt;0.005),IF(A311&lt;=Grace,0,IF(A311=NPer,D311,IF(Method="Equal principal (reducing payments)",MIN(ROUND(EqPrin,2),D311),MIN(ROUND(Annuity-F311,2),D311)))),"")</f>
        <v/>
      </c>
      <c r="H311" s="41" t="str">
        <f aca="false">IF(AND(A311&lt;&gt;"",D311&gt;0.005),IF(A311&lt;=Grace,0,MIN(Extra,D311-G311)),"")</f>
        <v/>
      </c>
      <c r="I311" s="41" t="str">
        <f aca="false">IF(AND(A311&lt;&gt;"",D311&gt;0.005),MIN(SUMIF(LumpN,A311,LumpAmt),D311-G311-H311),"")</f>
        <v/>
      </c>
      <c r="J311" s="42" t="str">
        <f aca="false">IF(AND(A311&lt;&gt;"",D311&gt;0.005),E311+H311+I311,"")</f>
        <v/>
      </c>
      <c r="K311" s="42" t="str">
        <f aca="false">IF(AND(A311&lt;&gt;"",D311&gt;0.005),ROUND(D311-G311-H311-I311,2),"")</f>
        <v/>
      </c>
      <c r="L311" s="41" t="str">
        <f aca="false">IF(AND(A311&lt;&gt;"",D311&gt;0.005),L310+F311,"")</f>
        <v/>
      </c>
      <c r="M311" s="41" t="str">
        <f aca="false">IF(AND(A311&lt;&gt;"",D311&gt;0.005),M310+G311+H311+I311,"")</f>
        <v/>
      </c>
      <c r="N311" s="43" t="str">
        <f aca="false">IF(B311="","",YEAR(B311))</f>
        <v/>
      </c>
      <c r="O311" s="44" t="n">
        <f aca="false">IF(AND(A311&lt;&gt;"",D311&gt;0.005),J311,0)</f>
        <v>0</v>
      </c>
      <c r="P311" s="44" t="n">
        <f aca="false">R310</f>
        <v>0</v>
      </c>
      <c r="Q311" s="44" t="n">
        <f aca="false">IF(AND(P311&gt;0.005,304&lt;=NPer),ROUND(P311*RP,2),0)</f>
        <v>0</v>
      </c>
      <c r="R311" s="44" t="n">
        <f aca="false">IF(AND(P311&gt;0.005,304&lt;=NPer),ROUND(P311-IF(304&lt;=Grace,0,IF(304=NPer,P311,IF(Method="Equal principal (reducing payments)",MIN(ROUND(EqPrin,2),P311),MIN(ROUND(Annuity-Q311,2),P311)))),2),0)</f>
        <v>0</v>
      </c>
    </row>
    <row r="312" customFormat="false" ht="15" hidden="false" customHeight="false" outlineLevel="0" collapsed="false">
      <c r="A312" s="38" t="str">
        <f aca="false">IF(AND(N(K311)&gt;0.005,A311&lt;NPer),A311+1,"")</f>
        <v/>
      </c>
      <c r="B312" s="39" t="str">
        <f aca="false">IF(A312="","",EDATE(Disb,A312*MPP))</f>
        <v/>
      </c>
      <c r="C312" s="40" t="str">
        <f aca="false">IF(A312="","",IF(A312&lt;=Grace,"Grace","Repayment"))</f>
        <v/>
      </c>
      <c r="D312" s="41" t="str">
        <f aca="false">IF(A312="","",K311)</f>
        <v/>
      </c>
      <c r="E312" s="41" t="str">
        <f aca="false">IF(AND(A312&lt;&gt;"",D312&gt;0.005),F312+G312,"")</f>
        <v/>
      </c>
      <c r="F312" s="41" t="str">
        <f aca="false">IF(AND(A312&lt;&gt;"",D312&gt;0.005),ROUND(D312*RP,2),"")</f>
        <v/>
      </c>
      <c r="G312" s="41" t="str">
        <f aca="false">IF(AND(A312&lt;&gt;"",D312&gt;0.005),IF(A312&lt;=Grace,0,IF(A312=NPer,D312,IF(Method="Equal principal (reducing payments)",MIN(ROUND(EqPrin,2),D312),MIN(ROUND(Annuity-F312,2),D312)))),"")</f>
        <v/>
      </c>
      <c r="H312" s="41" t="str">
        <f aca="false">IF(AND(A312&lt;&gt;"",D312&gt;0.005),IF(A312&lt;=Grace,0,MIN(Extra,D312-G312)),"")</f>
        <v/>
      </c>
      <c r="I312" s="41" t="str">
        <f aca="false">IF(AND(A312&lt;&gt;"",D312&gt;0.005),MIN(SUMIF(LumpN,A312,LumpAmt),D312-G312-H312),"")</f>
        <v/>
      </c>
      <c r="J312" s="42" t="str">
        <f aca="false">IF(AND(A312&lt;&gt;"",D312&gt;0.005),E312+H312+I312,"")</f>
        <v/>
      </c>
      <c r="K312" s="42" t="str">
        <f aca="false">IF(AND(A312&lt;&gt;"",D312&gt;0.005),ROUND(D312-G312-H312-I312,2),"")</f>
        <v/>
      </c>
      <c r="L312" s="41" t="str">
        <f aca="false">IF(AND(A312&lt;&gt;"",D312&gt;0.005),L311+F312,"")</f>
        <v/>
      </c>
      <c r="M312" s="41" t="str">
        <f aca="false">IF(AND(A312&lt;&gt;"",D312&gt;0.005),M311+G312+H312+I312,"")</f>
        <v/>
      </c>
      <c r="N312" s="43" t="str">
        <f aca="false">IF(B312="","",YEAR(B312))</f>
        <v/>
      </c>
      <c r="O312" s="44" t="n">
        <f aca="false">IF(AND(A312&lt;&gt;"",D312&gt;0.005),J312,0)</f>
        <v>0</v>
      </c>
      <c r="P312" s="44" t="n">
        <f aca="false">R311</f>
        <v>0</v>
      </c>
      <c r="Q312" s="44" t="n">
        <f aca="false">IF(AND(P312&gt;0.005,305&lt;=NPer),ROUND(P312*RP,2),0)</f>
        <v>0</v>
      </c>
      <c r="R312" s="44" t="n">
        <f aca="false">IF(AND(P312&gt;0.005,305&lt;=NPer),ROUND(P312-IF(305&lt;=Grace,0,IF(305=NPer,P312,IF(Method="Equal principal (reducing payments)",MIN(ROUND(EqPrin,2),P312),MIN(ROUND(Annuity-Q312,2),P312)))),2),0)</f>
        <v>0</v>
      </c>
    </row>
    <row r="313" customFormat="false" ht="15" hidden="false" customHeight="false" outlineLevel="0" collapsed="false">
      <c r="A313" s="38" t="str">
        <f aca="false">IF(AND(N(K312)&gt;0.005,A312&lt;NPer),A312+1,"")</f>
        <v/>
      </c>
      <c r="B313" s="39" t="str">
        <f aca="false">IF(A313="","",EDATE(Disb,A313*MPP))</f>
        <v/>
      </c>
      <c r="C313" s="40" t="str">
        <f aca="false">IF(A313="","",IF(A313&lt;=Grace,"Grace","Repayment"))</f>
        <v/>
      </c>
      <c r="D313" s="41" t="str">
        <f aca="false">IF(A313="","",K312)</f>
        <v/>
      </c>
      <c r="E313" s="41" t="str">
        <f aca="false">IF(AND(A313&lt;&gt;"",D313&gt;0.005),F313+G313,"")</f>
        <v/>
      </c>
      <c r="F313" s="41" t="str">
        <f aca="false">IF(AND(A313&lt;&gt;"",D313&gt;0.005),ROUND(D313*RP,2),"")</f>
        <v/>
      </c>
      <c r="G313" s="41" t="str">
        <f aca="false">IF(AND(A313&lt;&gt;"",D313&gt;0.005),IF(A313&lt;=Grace,0,IF(A313=NPer,D313,IF(Method="Equal principal (reducing payments)",MIN(ROUND(EqPrin,2),D313),MIN(ROUND(Annuity-F313,2),D313)))),"")</f>
        <v/>
      </c>
      <c r="H313" s="41" t="str">
        <f aca="false">IF(AND(A313&lt;&gt;"",D313&gt;0.005),IF(A313&lt;=Grace,0,MIN(Extra,D313-G313)),"")</f>
        <v/>
      </c>
      <c r="I313" s="41" t="str">
        <f aca="false">IF(AND(A313&lt;&gt;"",D313&gt;0.005),MIN(SUMIF(LumpN,A313,LumpAmt),D313-G313-H313),"")</f>
        <v/>
      </c>
      <c r="J313" s="42" t="str">
        <f aca="false">IF(AND(A313&lt;&gt;"",D313&gt;0.005),E313+H313+I313,"")</f>
        <v/>
      </c>
      <c r="K313" s="42" t="str">
        <f aca="false">IF(AND(A313&lt;&gt;"",D313&gt;0.005),ROUND(D313-G313-H313-I313,2),"")</f>
        <v/>
      </c>
      <c r="L313" s="41" t="str">
        <f aca="false">IF(AND(A313&lt;&gt;"",D313&gt;0.005),L312+F313,"")</f>
        <v/>
      </c>
      <c r="M313" s="41" t="str">
        <f aca="false">IF(AND(A313&lt;&gt;"",D313&gt;0.005),M312+G313+H313+I313,"")</f>
        <v/>
      </c>
      <c r="N313" s="43" t="str">
        <f aca="false">IF(B313="","",YEAR(B313))</f>
        <v/>
      </c>
      <c r="O313" s="44" t="n">
        <f aca="false">IF(AND(A313&lt;&gt;"",D313&gt;0.005),J313,0)</f>
        <v>0</v>
      </c>
      <c r="P313" s="44" t="n">
        <f aca="false">R312</f>
        <v>0</v>
      </c>
      <c r="Q313" s="44" t="n">
        <f aca="false">IF(AND(P313&gt;0.005,306&lt;=NPer),ROUND(P313*RP,2),0)</f>
        <v>0</v>
      </c>
      <c r="R313" s="44" t="n">
        <f aca="false">IF(AND(P313&gt;0.005,306&lt;=NPer),ROUND(P313-IF(306&lt;=Grace,0,IF(306=NPer,P313,IF(Method="Equal principal (reducing payments)",MIN(ROUND(EqPrin,2),P313),MIN(ROUND(Annuity-Q313,2),P313)))),2),0)</f>
        <v>0</v>
      </c>
    </row>
    <row r="314" customFormat="false" ht="15" hidden="false" customHeight="false" outlineLevel="0" collapsed="false">
      <c r="A314" s="38" t="str">
        <f aca="false">IF(AND(N(K313)&gt;0.005,A313&lt;NPer),A313+1,"")</f>
        <v/>
      </c>
      <c r="B314" s="39" t="str">
        <f aca="false">IF(A314="","",EDATE(Disb,A314*MPP))</f>
        <v/>
      </c>
      <c r="C314" s="40" t="str">
        <f aca="false">IF(A314="","",IF(A314&lt;=Grace,"Grace","Repayment"))</f>
        <v/>
      </c>
      <c r="D314" s="41" t="str">
        <f aca="false">IF(A314="","",K313)</f>
        <v/>
      </c>
      <c r="E314" s="41" t="str">
        <f aca="false">IF(AND(A314&lt;&gt;"",D314&gt;0.005),F314+G314,"")</f>
        <v/>
      </c>
      <c r="F314" s="41" t="str">
        <f aca="false">IF(AND(A314&lt;&gt;"",D314&gt;0.005),ROUND(D314*RP,2),"")</f>
        <v/>
      </c>
      <c r="G314" s="41" t="str">
        <f aca="false">IF(AND(A314&lt;&gt;"",D314&gt;0.005),IF(A314&lt;=Grace,0,IF(A314=NPer,D314,IF(Method="Equal principal (reducing payments)",MIN(ROUND(EqPrin,2),D314),MIN(ROUND(Annuity-F314,2),D314)))),"")</f>
        <v/>
      </c>
      <c r="H314" s="41" t="str">
        <f aca="false">IF(AND(A314&lt;&gt;"",D314&gt;0.005),IF(A314&lt;=Grace,0,MIN(Extra,D314-G314)),"")</f>
        <v/>
      </c>
      <c r="I314" s="41" t="str">
        <f aca="false">IF(AND(A314&lt;&gt;"",D314&gt;0.005),MIN(SUMIF(LumpN,A314,LumpAmt),D314-G314-H314),"")</f>
        <v/>
      </c>
      <c r="J314" s="42" t="str">
        <f aca="false">IF(AND(A314&lt;&gt;"",D314&gt;0.005),E314+H314+I314,"")</f>
        <v/>
      </c>
      <c r="K314" s="42" t="str">
        <f aca="false">IF(AND(A314&lt;&gt;"",D314&gt;0.005),ROUND(D314-G314-H314-I314,2),"")</f>
        <v/>
      </c>
      <c r="L314" s="41" t="str">
        <f aca="false">IF(AND(A314&lt;&gt;"",D314&gt;0.005),L313+F314,"")</f>
        <v/>
      </c>
      <c r="M314" s="41" t="str">
        <f aca="false">IF(AND(A314&lt;&gt;"",D314&gt;0.005),M313+G314+H314+I314,"")</f>
        <v/>
      </c>
      <c r="N314" s="43" t="str">
        <f aca="false">IF(B314="","",YEAR(B314))</f>
        <v/>
      </c>
      <c r="O314" s="44" t="n">
        <f aca="false">IF(AND(A314&lt;&gt;"",D314&gt;0.005),J314,0)</f>
        <v>0</v>
      </c>
      <c r="P314" s="44" t="n">
        <f aca="false">R313</f>
        <v>0</v>
      </c>
      <c r="Q314" s="44" t="n">
        <f aca="false">IF(AND(P314&gt;0.005,307&lt;=NPer),ROUND(P314*RP,2),0)</f>
        <v>0</v>
      </c>
      <c r="R314" s="44" t="n">
        <f aca="false">IF(AND(P314&gt;0.005,307&lt;=NPer),ROUND(P314-IF(307&lt;=Grace,0,IF(307=NPer,P314,IF(Method="Equal principal (reducing payments)",MIN(ROUND(EqPrin,2),P314),MIN(ROUND(Annuity-Q314,2),P314)))),2),0)</f>
        <v>0</v>
      </c>
    </row>
    <row r="315" customFormat="false" ht="15" hidden="false" customHeight="false" outlineLevel="0" collapsed="false">
      <c r="A315" s="38" t="str">
        <f aca="false">IF(AND(N(K314)&gt;0.005,A314&lt;NPer),A314+1,"")</f>
        <v/>
      </c>
      <c r="B315" s="39" t="str">
        <f aca="false">IF(A315="","",EDATE(Disb,A315*MPP))</f>
        <v/>
      </c>
      <c r="C315" s="40" t="str">
        <f aca="false">IF(A315="","",IF(A315&lt;=Grace,"Grace","Repayment"))</f>
        <v/>
      </c>
      <c r="D315" s="41" t="str">
        <f aca="false">IF(A315="","",K314)</f>
        <v/>
      </c>
      <c r="E315" s="41" t="str">
        <f aca="false">IF(AND(A315&lt;&gt;"",D315&gt;0.005),F315+G315,"")</f>
        <v/>
      </c>
      <c r="F315" s="41" t="str">
        <f aca="false">IF(AND(A315&lt;&gt;"",D315&gt;0.005),ROUND(D315*RP,2),"")</f>
        <v/>
      </c>
      <c r="G315" s="41" t="str">
        <f aca="false">IF(AND(A315&lt;&gt;"",D315&gt;0.005),IF(A315&lt;=Grace,0,IF(A315=NPer,D315,IF(Method="Equal principal (reducing payments)",MIN(ROUND(EqPrin,2),D315),MIN(ROUND(Annuity-F315,2),D315)))),"")</f>
        <v/>
      </c>
      <c r="H315" s="41" t="str">
        <f aca="false">IF(AND(A315&lt;&gt;"",D315&gt;0.005),IF(A315&lt;=Grace,0,MIN(Extra,D315-G315)),"")</f>
        <v/>
      </c>
      <c r="I315" s="41" t="str">
        <f aca="false">IF(AND(A315&lt;&gt;"",D315&gt;0.005),MIN(SUMIF(LumpN,A315,LumpAmt),D315-G315-H315),"")</f>
        <v/>
      </c>
      <c r="J315" s="42" t="str">
        <f aca="false">IF(AND(A315&lt;&gt;"",D315&gt;0.005),E315+H315+I315,"")</f>
        <v/>
      </c>
      <c r="K315" s="42" t="str">
        <f aca="false">IF(AND(A315&lt;&gt;"",D315&gt;0.005),ROUND(D315-G315-H315-I315,2),"")</f>
        <v/>
      </c>
      <c r="L315" s="41" t="str">
        <f aca="false">IF(AND(A315&lt;&gt;"",D315&gt;0.005),L314+F315,"")</f>
        <v/>
      </c>
      <c r="M315" s="41" t="str">
        <f aca="false">IF(AND(A315&lt;&gt;"",D315&gt;0.005),M314+G315+H315+I315,"")</f>
        <v/>
      </c>
      <c r="N315" s="43" t="str">
        <f aca="false">IF(B315="","",YEAR(B315))</f>
        <v/>
      </c>
      <c r="O315" s="44" t="n">
        <f aca="false">IF(AND(A315&lt;&gt;"",D315&gt;0.005),J315,0)</f>
        <v>0</v>
      </c>
      <c r="P315" s="44" t="n">
        <f aca="false">R314</f>
        <v>0</v>
      </c>
      <c r="Q315" s="44" t="n">
        <f aca="false">IF(AND(P315&gt;0.005,308&lt;=NPer),ROUND(P315*RP,2),0)</f>
        <v>0</v>
      </c>
      <c r="R315" s="44" t="n">
        <f aca="false">IF(AND(P315&gt;0.005,308&lt;=NPer),ROUND(P315-IF(308&lt;=Grace,0,IF(308=NPer,P315,IF(Method="Equal principal (reducing payments)",MIN(ROUND(EqPrin,2),P315),MIN(ROUND(Annuity-Q315,2),P315)))),2),0)</f>
        <v>0</v>
      </c>
    </row>
    <row r="316" customFormat="false" ht="15" hidden="false" customHeight="false" outlineLevel="0" collapsed="false">
      <c r="A316" s="38" t="str">
        <f aca="false">IF(AND(N(K315)&gt;0.005,A315&lt;NPer),A315+1,"")</f>
        <v/>
      </c>
      <c r="B316" s="39" t="str">
        <f aca="false">IF(A316="","",EDATE(Disb,A316*MPP))</f>
        <v/>
      </c>
      <c r="C316" s="40" t="str">
        <f aca="false">IF(A316="","",IF(A316&lt;=Grace,"Grace","Repayment"))</f>
        <v/>
      </c>
      <c r="D316" s="41" t="str">
        <f aca="false">IF(A316="","",K315)</f>
        <v/>
      </c>
      <c r="E316" s="41" t="str">
        <f aca="false">IF(AND(A316&lt;&gt;"",D316&gt;0.005),F316+G316,"")</f>
        <v/>
      </c>
      <c r="F316" s="41" t="str">
        <f aca="false">IF(AND(A316&lt;&gt;"",D316&gt;0.005),ROUND(D316*RP,2),"")</f>
        <v/>
      </c>
      <c r="G316" s="41" t="str">
        <f aca="false">IF(AND(A316&lt;&gt;"",D316&gt;0.005),IF(A316&lt;=Grace,0,IF(A316=NPer,D316,IF(Method="Equal principal (reducing payments)",MIN(ROUND(EqPrin,2),D316),MIN(ROUND(Annuity-F316,2),D316)))),"")</f>
        <v/>
      </c>
      <c r="H316" s="41" t="str">
        <f aca="false">IF(AND(A316&lt;&gt;"",D316&gt;0.005),IF(A316&lt;=Grace,0,MIN(Extra,D316-G316)),"")</f>
        <v/>
      </c>
      <c r="I316" s="41" t="str">
        <f aca="false">IF(AND(A316&lt;&gt;"",D316&gt;0.005),MIN(SUMIF(LumpN,A316,LumpAmt),D316-G316-H316),"")</f>
        <v/>
      </c>
      <c r="J316" s="42" t="str">
        <f aca="false">IF(AND(A316&lt;&gt;"",D316&gt;0.005),E316+H316+I316,"")</f>
        <v/>
      </c>
      <c r="K316" s="42" t="str">
        <f aca="false">IF(AND(A316&lt;&gt;"",D316&gt;0.005),ROUND(D316-G316-H316-I316,2),"")</f>
        <v/>
      </c>
      <c r="L316" s="41" t="str">
        <f aca="false">IF(AND(A316&lt;&gt;"",D316&gt;0.005),L315+F316,"")</f>
        <v/>
      </c>
      <c r="M316" s="41" t="str">
        <f aca="false">IF(AND(A316&lt;&gt;"",D316&gt;0.005),M315+G316+H316+I316,"")</f>
        <v/>
      </c>
      <c r="N316" s="43" t="str">
        <f aca="false">IF(B316="","",YEAR(B316))</f>
        <v/>
      </c>
      <c r="O316" s="44" t="n">
        <f aca="false">IF(AND(A316&lt;&gt;"",D316&gt;0.005),J316,0)</f>
        <v>0</v>
      </c>
      <c r="P316" s="44" t="n">
        <f aca="false">R315</f>
        <v>0</v>
      </c>
      <c r="Q316" s="44" t="n">
        <f aca="false">IF(AND(P316&gt;0.005,309&lt;=NPer),ROUND(P316*RP,2),0)</f>
        <v>0</v>
      </c>
      <c r="R316" s="44" t="n">
        <f aca="false">IF(AND(P316&gt;0.005,309&lt;=NPer),ROUND(P316-IF(309&lt;=Grace,0,IF(309=NPer,P316,IF(Method="Equal principal (reducing payments)",MIN(ROUND(EqPrin,2),P316),MIN(ROUND(Annuity-Q316,2),P316)))),2),0)</f>
        <v>0</v>
      </c>
    </row>
    <row r="317" customFormat="false" ht="15" hidden="false" customHeight="false" outlineLevel="0" collapsed="false">
      <c r="A317" s="38" t="str">
        <f aca="false">IF(AND(N(K316)&gt;0.005,A316&lt;NPer),A316+1,"")</f>
        <v/>
      </c>
      <c r="B317" s="39" t="str">
        <f aca="false">IF(A317="","",EDATE(Disb,A317*MPP))</f>
        <v/>
      </c>
      <c r="C317" s="40" t="str">
        <f aca="false">IF(A317="","",IF(A317&lt;=Grace,"Grace","Repayment"))</f>
        <v/>
      </c>
      <c r="D317" s="41" t="str">
        <f aca="false">IF(A317="","",K316)</f>
        <v/>
      </c>
      <c r="E317" s="41" t="str">
        <f aca="false">IF(AND(A317&lt;&gt;"",D317&gt;0.005),F317+G317,"")</f>
        <v/>
      </c>
      <c r="F317" s="41" t="str">
        <f aca="false">IF(AND(A317&lt;&gt;"",D317&gt;0.005),ROUND(D317*RP,2),"")</f>
        <v/>
      </c>
      <c r="G317" s="41" t="str">
        <f aca="false">IF(AND(A317&lt;&gt;"",D317&gt;0.005),IF(A317&lt;=Grace,0,IF(A317=NPer,D317,IF(Method="Equal principal (reducing payments)",MIN(ROUND(EqPrin,2),D317),MIN(ROUND(Annuity-F317,2),D317)))),"")</f>
        <v/>
      </c>
      <c r="H317" s="41" t="str">
        <f aca="false">IF(AND(A317&lt;&gt;"",D317&gt;0.005),IF(A317&lt;=Grace,0,MIN(Extra,D317-G317)),"")</f>
        <v/>
      </c>
      <c r="I317" s="41" t="str">
        <f aca="false">IF(AND(A317&lt;&gt;"",D317&gt;0.005),MIN(SUMIF(LumpN,A317,LumpAmt),D317-G317-H317),"")</f>
        <v/>
      </c>
      <c r="J317" s="42" t="str">
        <f aca="false">IF(AND(A317&lt;&gt;"",D317&gt;0.005),E317+H317+I317,"")</f>
        <v/>
      </c>
      <c r="K317" s="42" t="str">
        <f aca="false">IF(AND(A317&lt;&gt;"",D317&gt;0.005),ROUND(D317-G317-H317-I317,2),"")</f>
        <v/>
      </c>
      <c r="L317" s="41" t="str">
        <f aca="false">IF(AND(A317&lt;&gt;"",D317&gt;0.005),L316+F317,"")</f>
        <v/>
      </c>
      <c r="M317" s="41" t="str">
        <f aca="false">IF(AND(A317&lt;&gt;"",D317&gt;0.005),M316+G317+H317+I317,"")</f>
        <v/>
      </c>
      <c r="N317" s="43" t="str">
        <f aca="false">IF(B317="","",YEAR(B317))</f>
        <v/>
      </c>
      <c r="O317" s="44" t="n">
        <f aca="false">IF(AND(A317&lt;&gt;"",D317&gt;0.005),J317,0)</f>
        <v>0</v>
      </c>
      <c r="P317" s="44" t="n">
        <f aca="false">R316</f>
        <v>0</v>
      </c>
      <c r="Q317" s="44" t="n">
        <f aca="false">IF(AND(P317&gt;0.005,310&lt;=NPer),ROUND(P317*RP,2),0)</f>
        <v>0</v>
      </c>
      <c r="R317" s="44" t="n">
        <f aca="false">IF(AND(P317&gt;0.005,310&lt;=NPer),ROUND(P317-IF(310&lt;=Grace,0,IF(310=NPer,P317,IF(Method="Equal principal (reducing payments)",MIN(ROUND(EqPrin,2),P317),MIN(ROUND(Annuity-Q317,2),P317)))),2),0)</f>
        <v>0</v>
      </c>
    </row>
    <row r="318" customFormat="false" ht="15" hidden="false" customHeight="false" outlineLevel="0" collapsed="false">
      <c r="A318" s="38" t="str">
        <f aca="false">IF(AND(N(K317)&gt;0.005,A317&lt;NPer),A317+1,"")</f>
        <v/>
      </c>
      <c r="B318" s="39" t="str">
        <f aca="false">IF(A318="","",EDATE(Disb,A318*MPP))</f>
        <v/>
      </c>
      <c r="C318" s="40" t="str">
        <f aca="false">IF(A318="","",IF(A318&lt;=Grace,"Grace","Repayment"))</f>
        <v/>
      </c>
      <c r="D318" s="41" t="str">
        <f aca="false">IF(A318="","",K317)</f>
        <v/>
      </c>
      <c r="E318" s="41" t="str">
        <f aca="false">IF(AND(A318&lt;&gt;"",D318&gt;0.005),F318+G318,"")</f>
        <v/>
      </c>
      <c r="F318" s="41" t="str">
        <f aca="false">IF(AND(A318&lt;&gt;"",D318&gt;0.005),ROUND(D318*RP,2),"")</f>
        <v/>
      </c>
      <c r="G318" s="41" t="str">
        <f aca="false">IF(AND(A318&lt;&gt;"",D318&gt;0.005),IF(A318&lt;=Grace,0,IF(A318=NPer,D318,IF(Method="Equal principal (reducing payments)",MIN(ROUND(EqPrin,2),D318),MIN(ROUND(Annuity-F318,2),D318)))),"")</f>
        <v/>
      </c>
      <c r="H318" s="41" t="str">
        <f aca="false">IF(AND(A318&lt;&gt;"",D318&gt;0.005),IF(A318&lt;=Grace,0,MIN(Extra,D318-G318)),"")</f>
        <v/>
      </c>
      <c r="I318" s="41" t="str">
        <f aca="false">IF(AND(A318&lt;&gt;"",D318&gt;0.005),MIN(SUMIF(LumpN,A318,LumpAmt),D318-G318-H318),"")</f>
        <v/>
      </c>
      <c r="J318" s="42" t="str">
        <f aca="false">IF(AND(A318&lt;&gt;"",D318&gt;0.005),E318+H318+I318,"")</f>
        <v/>
      </c>
      <c r="K318" s="42" t="str">
        <f aca="false">IF(AND(A318&lt;&gt;"",D318&gt;0.005),ROUND(D318-G318-H318-I318,2),"")</f>
        <v/>
      </c>
      <c r="L318" s="41" t="str">
        <f aca="false">IF(AND(A318&lt;&gt;"",D318&gt;0.005),L317+F318,"")</f>
        <v/>
      </c>
      <c r="M318" s="41" t="str">
        <f aca="false">IF(AND(A318&lt;&gt;"",D318&gt;0.005),M317+G318+H318+I318,"")</f>
        <v/>
      </c>
      <c r="N318" s="43" t="str">
        <f aca="false">IF(B318="","",YEAR(B318))</f>
        <v/>
      </c>
      <c r="O318" s="44" t="n">
        <f aca="false">IF(AND(A318&lt;&gt;"",D318&gt;0.005),J318,0)</f>
        <v>0</v>
      </c>
      <c r="P318" s="44" t="n">
        <f aca="false">R317</f>
        <v>0</v>
      </c>
      <c r="Q318" s="44" t="n">
        <f aca="false">IF(AND(P318&gt;0.005,311&lt;=NPer),ROUND(P318*RP,2),0)</f>
        <v>0</v>
      </c>
      <c r="R318" s="44" t="n">
        <f aca="false">IF(AND(P318&gt;0.005,311&lt;=NPer),ROUND(P318-IF(311&lt;=Grace,0,IF(311=NPer,P318,IF(Method="Equal principal (reducing payments)",MIN(ROUND(EqPrin,2),P318),MIN(ROUND(Annuity-Q318,2),P318)))),2),0)</f>
        <v>0</v>
      </c>
    </row>
    <row r="319" customFormat="false" ht="15" hidden="false" customHeight="false" outlineLevel="0" collapsed="false">
      <c r="A319" s="38" t="str">
        <f aca="false">IF(AND(N(K318)&gt;0.005,A318&lt;NPer),A318+1,"")</f>
        <v/>
      </c>
      <c r="B319" s="39" t="str">
        <f aca="false">IF(A319="","",EDATE(Disb,A319*MPP))</f>
        <v/>
      </c>
      <c r="C319" s="40" t="str">
        <f aca="false">IF(A319="","",IF(A319&lt;=Grace,"Grace","Repayment"))</f>
        <v/>
      </c>
      <c r="D319" s="41" t="str">
        <f aca="false">IF(A319="","",K318)</f>
        <v/>
      </c>
      <c r="E319" s="41" t="str">
        <f aca="false">IF(AND(A319&lt;&gt;"",D319&gt;0.005),F319+G319,"")</f>
        <v/>
      </c>
      <c r="F319" s="41" t="str">
        <f aca="false">IF(AND(A319&lt;&gt;"",D319&gt;0.005),ROUND(D319*RP,2),"")</f>
        <v/>
      </c>
      <c r="G319" s="41" t="str">
        <f aca="false">IF(AND(A319&lt;&gt;"",D319&gt;0.005),IF(A319&lt;=Grace,0,IF(A319=NPer,D319,IF(Method="Equal principal (reducing payments)",MIN(ROUND(EqPrin,2),D319),MIN(ROUND(Annuity-F319,2),D319)))),"")</f>
        <v/>
      </c>
      <c r="H319" s="41" t="str">
        <f aca="false">IF(AND(A319&lt;&gt;"",D319&gt;0.005),IF(A319&lt;=Grace,0,MIN(Extra,D319-G319)),"")</f>
        <v/>
      </c>
      <c r="I319" s="41" t="str">
        <f aca="false">IF(AND(A319&lt;&gt;"",D319&gt;0.005),MIN(SUMIF(LumpN,A319,LumpAmt),D319-G319-H319),"")</f>
        <v/>
      </c>
      <c r="J319" s="42" t="str">
        <f aca="false">IF(AND(A319&lt;&gt;"",D319&gt;0.005),E319+H319+I319,"")</f>
        <v/>
      </c>
      <c r="K319" s="42" t="str">
        <f aca="false">IF(AND(A319&lt;&gt;"",D319&gt;0.005),ROUND(D319-G319-H319-I319,2),"")</f>
        <v/>
      </c>
      <c r="L319" s="41" t="str">
        <f aca="false">IF(AND(A319&lt;&gt;"",D319&gt;0.005),L318+F319,"")</f>
        <v/>
      </c>
      <c r="M319" s="41" t="str">
        <f aca="false">IF(AND(A319&lt;&gt;"",D319&gt;0.005),M318+G319+H319+I319,"")</f>
        <v/>
      </c>
      <c r="N319" s="43" t="str">
        <f aca="false">IF(B319="","",YEAR(B319))</f>
        <v/>
      </c>
      <c r="O319" s="44" t="n">
        <f aca="false">IF(AND(A319&lt;&gt;"",D319&gt;0.005),J319,0)</f>
        <v>0</v>
      </c>
      <c r="P319" s="44" t="n">
        <f aca="false">R318</f>
        <v>0</v>
      </c>
      <c r="Q319" s="44" t="n">
        <f aca="false">IF(AND(P319&gt;0.005,312&lt;=NPer),ROUND(P319*RP,2),0)</f>
        <v>0</v>
      </c>
      <c r="R319" s="44" t="n">
        <f aca="false">IF(AND(P319&gt;0.005,312&lt;=NPer),ROUND(P319-IF(312&lt;=Grace,0,IF(312=NPer,P319,IF(Method="Equal principal (reducing payments)",MIN(ROUND(EqPrin,2),P319),MIN(ROUND(Annuity-Q319,2),P319)))),2),0)</f>
        <v>0</v>
      </c>
    </row>
    <row r="320" customFormat="false" ht="15" hidden="false" customHeight="false" outlineLevel="0" collapsed="false">
      <c r="A320" s="38" t="str">
        <f aca="false">IF(AND(N(K319)&gt;0.005,A319&lt;NPer),A319+1,"")</f>
        <v/>
      </c>
      <c r="B320" s="39" t="str">
        <f aca="false">IF(A320="","",EDATE(Disb,A320*MPP))</f>
        <v/>
      </c>
      <c r="C320" s="40" t="str">
        <f aca="false">IF(A320="","",IF(A320&lt;=Grace,"Grace","Repayment"))</f>
        <v/>
      </c>
      <c r="D320" s="41" t="str">
        <f aca="false">IF(A320="","",K319)</f>
        <v/>
      </c>
      <c r="E320" s="41" t="str">
        <f aca="false">IF(AND(A320&lt;&gt;"",D320&gt;0.005),F320+G320,"")</f>
        <v/>
      </c>
      <c r="F320" s="41" t="str">
        <f aca="false">IF(AND(A320&lt;&gt;"",D320&gt;0.005),ROUND(D320*RP,2),"")</f>
        <v/>
      </c>
      <c r="G320" s="41" t="str">
        <f aca="false">IF(AND(A320&lt;&gt;"",D320&gt;0.005),IF(A320&lt;=Grace,0,IF(A320=NPer,D320,IF(Method="Equal principal (reducing payments)",MIN(ROUND(EqPrin,2),D320),MIN(ROUND(Annuity-F320,2),D320)))),"")</f>
        <v/>
      </c>
      <c r="H320" s="41" t="str">
        <f aca="false">IF(AND(A320&lt;&gt;"",D320&gt;0.005),IF(A320&lt;=Grace,0,MIN(Extra,D320-G320)),"")</f>
        <v/>
      </c>
      <c r="I320" s="41" t="str">
        <f aca="false">IF(AND(A320&lt;&gt;"",D320&gt;0.005),MIN(SUMIF(LumpN,A320,LumpAmt),D320-G320-H320),"")</f>
        <v/>
      </c>
      <c r="J320" s="42" t="str">
        <f aca="false">IF(AND(A320&lt;&gt;"",D320&gt;0.005),E320+H320+I320,"")</f>
        <v/>
      </c>
      <c r="K320" s="42" t="str">
        <f aca="false">IF(AND(A320&lt;&gt;"",D320&gt;0.005),ROUND(D320-G320-H320-I320,2),"")</f>
        <v/>
      </c>
      <c r="L320" s="41" t="str">
        <f aca="false">IF(AND(A320&lt;&gt;"",D320&gt;0.005),L319+F320,"")</f>
        <v/>
      </c>
      <c r="M320" s="41" t="str">
        <f aca="false">IF(AND(A320&lt;&gt;"",D320&gt;0.005),M319+G320+H320+I320,"")</f>
        <v/>
      </c>
      <c r="N320" s="43" t="str">
        <f aca="false">IF(B320="","",YEAR(B320))</f>
        <v/>
      </c>
      <c r="O320" s="44" t="n">
        <f aca="false">IF(AND(A320&lt;&gt;"",D320&gt;0.005),J320,0)</f>
        <v>0</v>
      </c>
      <c r="P320" s="44" t="n">
        <f aca="false">R319</f>
        <v>0</v>
      </c>
      <c r="Q320" s="44" t="n">
        <f aca="false">IF(AND(P320&gt;0.005,313&lt;=NPer),ROUND(P320*RP,2),0)</f>
        <v>0</v>
      </c>
      <c r="R320" s="44" t="n">
        <f aca="false">IF(AND(P320&gt;0.005,313&lt;=NPer),ROUND(P320-IF(313&lt;=Grace,0,IF(313=NPer,P320,IF(Method="Equal principal (reducing payments)",MIN(ROUND(EqPrin,2),P320),MIN(ROUND(Annuity-Q320,2),P320)))),2),0)</f>
        <v>0</v>
      </c>
    </row>
    <row r="321" customFormat="false" ht="15" hidden="false" customHeight="false" outlineLevel="0" collapsed="false">
      <c r="A321" s="38" t="str">
        <f aca="false">IF(AND(N(K320)&gt;0.005,A320&lt;NPer),A320+1,"")</f>
        <v/>
      </c>
      <c r="B321" s="39" t="str">
        <f aca="false">IF(A321="","",EDATE(Disb,A321*MPP))</f>
        <v/>
      </c>
      <c r="C321" s="40" t="str">
        <f aca="false">IF(A321="","",IF(A321&lt;=Grace,"Grace","Repayment"))</f>
        <v/>
      </c>
      <c r="D321" s="41" t="str">
        <f aca="false">IF(A321="","",K320)</f>
        <v/>
      </c>
      <c r="E321" s="41" t="str">
        <f aca="false">IF(AND(A321&lt;&gt;"",D321&gt;0.005),F321+G321,"")</f>
        <v/>
      </c>
      <c r="F321" s="41" t="str">
        <f aca="false">IF(AND(A321&lt;&gt;"",D321&gt;0.005),ROUND(D321*RP,2),"")</f>
        <v/>
      </c>
      <c r="G321" s="41" t="str">
        <f aca="false">IF(AND(A321&lt;&gt;"",D321&gt;0.005),IF(A321&lt;=Grace,0,IF(A321=NPer,D321,IF(Method="Equal principal (reducing payments)",MIN(ROUND(EqPrin,2),D321),MIN(ROUND(Annuity-F321,2),D321)))),"")</f>
        <v/>
      </c>
      <c r="H321" s="41" t="str">
        <f aca="false">IF(AND(A321&lt;&gt;"",D321&gt;0.005),IF(A321&lt;=Grace,0,MIN(Extra,D321-G321)),"")</f>
        <v/>
      </c>
      <c r="I321" s="41" t="str">
        <f aca="false">IF(AND(A321&lt;&gt;"",D321&gt;0.005),MIN(SUMIF(LumpN,A321,LumpAmt),D321-G321-H321),"")</f>
        <v/>
      </c>
      <c r="J321" s="42" t="str">
        <f aca="false">IF(AND(A321&lt;&gt;"",D321&gt;0.005),E321+H321+I321,"")</f>
        <v/>
      </c>
      <c r="K321" s="42" t="str">
        <f aca="false">IF(AND(A321&lt;&gt;"",D321&gt;0.005),ROUND(D321-G321-H321-I321,2),"")</f>
        <v/>
      </c>
      <c r="L321" s="41" t="str">
        <f aca="false">IF(AND(A321&lt;&gt;"",D321&gt;0.005),L320+F321,"")</f>
        <v/>
      </c>
      <c r="M321" s="41" t="str">
        <f aca="false">IF(AND(A321&lt;&gt;"",D321&gt;0.005),M320+G321+H321+I321,"")</f>
        <v/>
      </c>
      <c r="N321" s="43" t="str">
        <f aca="false">IF(B321="","",YEAR(B321))</f>
        <v/>
      </c>
      <c r="O321" s="44" t="n">
        <f aca="false">IF(AND(A321&lt;&gt;"",D321&gt;0.005),J321,0)</f>
        <v>0</v>
      </c>
      <c r="P321" s="44" t="n">
        <f aca="false">R320</f>
        <v>0</v>
      </c>
      <c r="Q321" s="44" t="n">
        <f aca="false">IF(AND(P321&gt;0.005,314&lt;=NPer),ROUND(P321*RP,2),0)</f>
        <v>0</v>
      </c>
      <c r="R321" s="44" t="n">
        <f aca="false">IF(AND(P321&gt;0.005,314&lt;=NPer),ROUND(P321-IF(314&lt;=Grace,0,IF(314=NPer,P321,IF(Method="Equal principal (reducing payments)",MIN(ROUND(EqPrin,2),P321),MIN(ROUND(Annuity-Q321,2),P321)))),2),0)</f>
        <v>0</v>
      </c>
    </row>
    <row r="322" customFormat="false" ht="15" hidden="false" customHeight="false" outlineLevel="0" collapsed="false">
      <c r="A322" s="38" t="str">
        <f aca="false">IF(AND(N(K321)&gt;0.005,A321&lt;NPer),A321+1,"")</f>
        <v/>
      </c>
      <c r="B322" s="39" t="str">
        <f aca="false">IF(A322="","",EDATE(Disb,A322*MPP))</f>
        <v/>
      </c>
      <c r="C322" s="40" t="str">
        <f aca="false">IF(A322="","",IF(A322&lt;=Grace,"Grace","Repayment"))</f>
        <v/>
      </c>
      <c r="D322" s="41" t="str">
        <f aca="false">IF(A322="","",K321)</f>
        <v/>
      </c>
      <c r="E322" s="41" t="str">
        <f aca="false">IF(AND(A322&lt;&gt;"",D322&gt;0.005),F322+G322,"")</f>
        <v/>
      </c>
      <c r="F322" s="41" t="str">
        <f aca="false">IF(AND(A322&lt;&gt;"",D322&gt;0.005),ROUND(D322*RP,2),"")</f>
        <v/>
      </c>
      <c r="G322" s="41" t="str">
        <f aca="false">IF(AND(A322&lt;&gt;"",D322&gt;0.005),IF(A322&lt;=Grace,0,IF(A322=NPer,D322,IF(Method="Equal principal (reducing payments)",MIN(ROUND(EqPrin,2),D322),MIN(ROUND(Annuity-F322,2),D322)))),"")</f>
        <v/>
      </c>
      <c r="H322" s="41" t="str">
        <f aca="false">IF(AND(A322&lt;&gt;"",D322&gt;0.005),IF(A322&lt;=Grace,0,MIN(Extra,D322-G322)),"")</f>
        <v/>
      </c>
      <c r="I322" s="41" t="str">
        <f aca="false">IF(AND(A322&lt;&gt;"",D322&gt;0.005),MIN(SUMIF(LumpN,A322,LumpAmt),D322-G322-H322),"")</f>
        <v/>
      </c>
      <c r="J322" s="42" t="str">
        <f aca="false">IF(AND(A322&lt;&gt;"",D322&gt;0.005),E322+H322+I322,"")</f>
        <v/>
      </c>
      <c r="K322" s="42" t="str">
        <f aca="false">IF(AND(A322&lt;&gt;"",D322&gt;0.005),ROUND(D322-G322-H322-I322,2),"")</f>
        <v/>
      </c>
      <c r="L322" s="41" t="str">
        <f aca="false">IF(AND(A322&lt;&gt;"",D322&gt;0.005),L321+F322,"")</f>
        <v/>
      </c>
      <c r="M322" s="41" t="str">
        <f aca="false">IF(AND(A322&lt;&gt;"",D322&gt;0.005),M321+G322+H322+I322,"")</f>
        <v/>
      </c>
      <c r="N322" s="43" t="str">
        <f aca="false">IF(B322="","",YEAR(B322))</f>
        <v/>
      </c>
      <c r="O322" s="44" t="n">
        <f aca="false">IF(AND(A322&lt;&gt;"",D322&gt;0.005),J322,0)</f>
        <v>0</v>
      </c>
      <c r="P322" s="44" t="n">
        <f aca="false">R321</f>
        <v>0</v>
      </c>
      <c r="Q322" s="44" t="n">
        <f aca="false">IF(AND(P322&gt;0.005,315&lt;=NPer),ROUND(P322*RP,2),0)</f>
        <v>0</v>
      </c>
      <c r="R322" s="44" t="n">
        <f aca="false">IF(AND(P322&gt;0.005,315&lt;=NPer),ROUND(P322-IF(315&lt;=Grace,0,IF(315=NPer,P322,IF(Method="Equal principal (reducing payments)",MIN(ROUND(EqPrin,2),P322),MIN(ROUND(Annuity-Q322,2),P322)))),2),0)</f>
        <v>0</v>
      </c>
    </row>
    <row r="323" customFormat="false" ht="15" hidden="false" customHeight="false" outlineLevel="0" collapsed="false">
      <c r="A323" s="38" t="str">
        <f aca="false">IF(AND(N(K322)&gt;0.005,A322&lt;NPer),A322+1,"")</f>
        <v/>
      </c>
      <c r="B323" s="39" t="str">
        <f aca="false">IF(A323="","",EDATE(Disb,A323*MPP))</f>
        <v/>
      </c>
      <c r="C323" s="40" t="str">
        <f aca="false">IF(A323="","",IF(A323&lt;=Grace,"Grace","Repayment"))</f>
        <v/>
      </c>
      <c r="D323" s="41" t="str">
        <f aca="false">IF(A323="","",K322)</f>
        <v/>
      </c>
      <c r="E323" s="41" t="str">
        <f aca="false">IF(AND(A323&lt;&gt;"",D323&gt;0.005),F323+G323,"")</f>
        <v/>
      </c>
      <c r="F323" s="41" t="str">
        <f aca="false">IF(AND(A323&lt;&gt;"",D323&gt;0.005),ROUND(D323*RP,2),"")</f>
        <v/>
      </c>
      <c r="G323" s="41" t="str">
        <f aca="false">IF(AND(A323&lt;&gt;"",D323&gt;0.005),IF(A323&lt;=Grace,0,IF(A323=NPer,D323,IF(Method="Equal principal (reducing payments)",MIN(ROUND(EqPrin,2),D323),MIN(ROUND(Annuity-F323,2),D323)))),"")</f>
        <v/>
      </c>
      <c r="H323" s="41" t="str">
        <f aca="false">IF(AND(A323&lt;&gt;"",D323&gt;0.005),IF(A323&lt;=Grace,0,MIN(Extra,D323-G323)),"")</f>
        <v/>
      </c>
      <c r="I323" s="41" t="str">
        <f aca="false">IF(AND(A323&lt;&gt;"",D323&gt;0.005),MIN(SUMIF(LumpN,A323,LumpAmt),D323-G323-H323),"")</f>
        <v/>
      </c>
      <c r="J323" s="42" t="str">
        <f aca="false">IF(AND(A323&lt;&gt;"",D323&gt;0.005),E323+H323+I323,"")</f>
        <v/>
      </c>
      <c r="K323" s="42" t="str">
        <f aca="false">IF(AND(A323&lt;&gt;"",D323&gt;0.005),ROUND(D323-G323-H323-I323,2),"")</f>
        <v/>
      </c>
      <c r="L323" s="41" t="str">
        <f aca="false">IF(AND(A323&lt;&gt;"",D323&gt;0.005),L322+F323,"")</f>
        <v/>
      </c>
      <c r="M323" s="41" t="str">
        <f aca="false">IF(AND(A323&lt;&gt;"",D323&gt;0.005),M322+G323+H323+I323,"")</f>
        <v/>
      </c>
      <c r="N323" s="43" t="str">
        <f aca="false">IF(B323="","",YEAR(B323))</f>
        <v/>
      </c>
      <c r="O323" s="44" t="n">
        <f aca="false">IF(AND(A323&lt;&gt;"",D323&gt;0.005),J323,0)</f>
        <v>0</v>
      </c>
      <c r="P323" s="44" t="n">
        <f aca="false">R322</f>
        <v>0</v>
      </c>
      <c r="Q323" s="44" t="n">
        <f aca="false">IF(AND(P323&gt;0.005,316&lt;=NPer),ROUND(P323*RP,2),0)</f>
        <v>0</v>
      </c>
      <c r="R323" s="44" t="n">
        <f aca="false">IF(AND(P323&gt;0.005,316&lt;=NPer),ROUND(P323-IF(316&lt;=Grace,0,IF(316=NPer,P323,IF(Method="Equal principal (reducing payments)",MIN(ROUND(EqPrin,2),P323),MIN(ROUND(Annuity-Q323,2),P323)))),2),0)</f>
        <v>0</v>
      </c>
    </row>
    <row r="324" customFormat="false" ht="15" hidden="false" customHeight="false" outlineLevel="0" collapsed="false">
      <c r="A324" s="38" t="str">
        <f aca="false">IF(AND(N(K323)&gt;0.005,A323&lt;NPer),A323+1,"")</f>
        <v/>
      </c>
      <c r="B324" s="39" t="str">
        <f aca="false">IF(A324="","",EDATE(Disb,A324*MPP))</f>
        <v/>
      </c>
      <c r="C324" s="40" t="str">
        <f aca="false">IF(A324="","",IF(A324&lt;=Grace,"Grace","Repayment"))</f>
        <v/>
      </c>
      <c r="D324" s="41" t="str">
        <f aca="false">IF(A324="","",K323)</f>
        <v/>
      </c>
      <c r="E324" s="41" t="str">
        <f aca="false">IF(AND(A324&lt;&gt;"",D324&gt;0.005),F324+G324,"")</f>
        <v/>
      </c>
      <c r="F324" s="41" t="str">
        <f aca="false">IF(AND(A324&lt;&gt;"",D324&gt;0.005),ROUND(D324*RP,2),"")</f>
        <v/>
      </c>
      <c r="G324" s="41" t="str">
        <f aca="false">IF(AND(A324&lt;&gt;"",D324&gt;0.005),IF(A324&lt;=Grace,0,IF(A324=NPer,D324,IF(Method="Equal principal (reducing payments)",MIN(ROUND(EqPrin,2),D324),MIN(ROUND(Annuity-F324,2),D324)))),"")</f>
        <v/>
      </c>
      <c r="H324" s="41" t="str">
        <f aca="false">IF(AND(A324&lt;&gt;"",D324&gt;0.005),IF(A324&lt;=Grace,0,MIN(Extra,D324-G324)),"")</f>
        <v/>
      </c>
      <c r="I324" s="41" t="str">
        <f aca="false">IF(AND(A324&lt;&gt;"",D324&gt;0.005),MIN(SUMIF(LumpN,A324,LumpAmt),D324-G324-H324),"")</f>
        <v/>
      </c>
      <c r="J324" s="42" t="str">
        <f aca="false">IF(AND(A324&lt;&gt;"",D324&gt;0.005),E324+H324+I324,"")</f>
        <v/>
      </c>
      <c r="K324" s="42" t="str">
        <f aca="false">IF(AND(A324&lt;&gt;"",D324&gt;0.005),ROUND(D324-G324-H324-I324,2),"")</f>
        <v/>
      </c>
      <c r="L324" s="41" t="str">
        <f aca="false">IF(AND(A324&lt;&gt;"",D324&gt;0.005),L323+F324,"")</f>
        <v/>
      </c>
      <c r="M324" s="41" t="str">
        <f aca="false">IF(AND(A324&lt;&gt;"",D324&gt;0.005),M323+G324+H324+I324,"")</f>
        <v/>
      </c>
      <c r="N324" s="43" t="str">
        <f aca="false">IF(B324="","",YEAR(B324))</f>
        <v/>
      </c>
      <c r="O324" s="44" t="n">
        <f aca="false">IF(AND(A324&lt;&gt;"",D324&gt;0.005),J324,0)</f>
        <v>0</v>
      </c>
      <c r="P324" s="44" t="n">
        <f aca="false">R323</f>
        <v>0</v>
      </c>
      <c r="Q324" s="44" t="n">
        <f aca="false">IF(AND(P324&gt;0.005,317&lt;=NPer),ROUND(P324*RP,2),0)</f>
        <v>0</v>
      </c>
      <c r="R324" s="44" t="n">
        <f aca="false">IF(AND(P324&gt;0.005,317&lt;=NPer),ROUND(P324-IF(317&lt;=Grace,0,IF(317=NPer,P324,IF(Method="Equal principal (reducing payments)",MIN(ROUND(EqPrin,2),P324),MIN(ROUND(Annuity-Q324,2),P324)))),2),0)</f>
        <v>0</v>
      </c>
    </row>
    <row r="325" customFormat="false" ht="15" hidden="false" customHeight="false" outlineLevel="0" collapsed="false">
      <c r="A325" s="38" t="str">
        <f aca="false">IF(AND(N(K324)&gt;0.005,A324&lt;NPer),A324+1,"")</f>
        <v/>
      </c>
      <c r="B325" s="39" t="str">
        <f aca="false">IF(A325="","",EDATE(Disb,A325*MPP))</f>
        <v/>
      </c>
      <c r="C325" s="40" t="str">
        <f aca="false">IF(A325="","",IF(A325&lt;=Grace,"Grace","Repayment"))</f>
        <v/>
      </c>
      <c r="D325" s="41" t="str">
        <f aca="false">IF(A325="","",K324)</f>
        <v/>
      </c>
      <c r="E325" s="41" t="str">
        <f aca="false">IF(AND(A325&lt;&gt;"",D325&gt;0.005),F325+G325,"")</f>
        <v/>
      </c>
      <c r="F325" s="41" t="str">
        <f aca="false">IF(AND(A325&lt;&gt;"",D325&gt;0.005),ROUND(D325*RP,2),"")</f>
        <v/>
      </c>
      <c r="G325" s="41" t="str">
        <f aca="false">IF(AND(A325&lt;&gt;"",D325&gt;0.005),IF(A325&lt;=Grace,0,IF(A325=NPer,D325,IF(Method="Equal principal (reducing payments)",MIN(ROUND(EqPrin,2),D325),MIN(ROUND(Annuity-F325,2),D325)))),"")</f>
        <v/>
      </c>
      <c r="H325" s="41" t="str">
        <f aca="false">IF(AND(A325&lt;&gt;"",D325&gt;0.005),IF(A325&lt;=Grace,0,MIN(Extra,D325-G325)),"")</f>
        <v/>
      </c>
      <c r="I325" s="41" t="str">
        <f aca="false">IF(AND(A325&lt;&gt;"",D325&gt;0.005),MIN(SUMIF(LumpN,A325,LumpAmt),D325-G325-H325),"")</f>
        <v/>
      </c>
      <c r="J325" s="42" t="str">
        <f aca="false">IF(AND(A325&lt;&gt;"",D325&gt;0.005),E325+H325+I325,"")</f>
        <v/>
      </c>
      <c r="K325" s="42" t="str">
        <f aca="false">IF(AND(A325&lt;&gt;"",D325&gt;0.005),ROUND(D325-G325-H325-I325,2),"")</f>
        <v/>
      </c>
      <c r="L325" s="41" t="str">
        <f aca="false">IF(AND(A325&lt;&gt;"",D325&gt;0.005),L324+F325,"")</f>
        <v/>
      </c>
      <c r="M325" s="41" t="str">
        <f aca="false">IF(AND(A325&lt;&gt;"",D325&gt;0.005),M324+G325+H325+I325,"")</f>
        <v/>
      </c>
      <c r="N325" s="43" t="str">
        <f aca="false">IF(B325="","",YEAR(B325))</f>
        <v/>
      </c>
      <c r="O325" s="44" t="n">
        <f aca="false">IF(AND(A325&lt;&gt;"",D325&gt;0.005),J325,0)</f>
        <v>0</v>
      </c>
      <c r="P325" s="44" t="n">
        <f aca="false">R324</f>
        <v>0</v>
      </c>
      <c r="Q325" s="44" t="n">
        <f aca="false">IF(AND(P325&gt;0.005,318&lt;=NPer),ROUND(P325*RP,2),0)</f>
        <v>0</v>
      </c>
      <c r="R325" s="44" t="n">
        <f aca="false">IF(AND(P325&gt;0.005,318&lt;=NPer),ROUND(P325-IF(318&lt;=Grace,0,IF(318=NPer,P325,IF(Method="Equal principal (reducing payments)",MIN(ROUND(EqPrin,2),P325),MIN(ROUND(Annuity-Q325,2),P325)))),2),0)</f>
        <v>0</v>
      </c>
    </row>
    <row r="326" customFormat="false" ht="15" hidden="false" customHeight="false" outlineLevel="0" collapsed="false">
      <c r="A326" s="38" t="str">
        <f aca="false">IF(AND(N(K325)&gt;0.005,A325&lt;NPer),A325+1,"")</f>
        <v/>
      </c>
      <c r="B326" s="39" t="str">
        <f aca="false">IF(A326="","",EDATE(Disb,A326*MPP))</f>
        <v/>
      </c>
      <c r="C326" s="40" t="str">
        <f aca="false">IF(A326="","",IF(A326&lt;=Grace,"Grace","Repayment"))</f>
        <v/>
      </c>
      <c r="D326" s="41" t="str">
        <f aca="false">IF(A326="","",K325)</f>
        <v/>
      </c>
      <c r="E326" s="41" t="str">
        <f aca="false">IF(AND(A326&lt;&gt;"",D326&gt;0.005),F326+G326,"")</f>
        <v/>
      </c>
      <c r="F326" s="41" t="str">
        <f aca="false">IF(AND(A326&lt;&gt;"",D326&gt;0.005),ROUND(D326*RP,2),"")</f>
        <v/>
      </c>
      <c r="G326" s="41" t="str">
        <f aca="false">IF(AND(A326&lt;&gt;"",D326&gt;0.005),IF(A326&lt;=Grace,0,IF(A326=NPer,D326,IF(Method="Equal principal (reducing payments)",MIN(ROUND(EqPrin,2),D326),MIN(ROUND(Annuity-F326,2),D326)))),"")</f>
        <v/>
      </c>
      <c r="H326" s="41" t="str">
        <f aca="false">IF(AND(A326&lt;&gt;"",D326&gt;0.005),IF(A326&lt;=Grace,0,MIN(Extra,D326-G326)),"")</f>
        <v/>
      </c>
      <c r="I326" s="41" t="str">
        <f aca="false">IF(AND(A326&lt;&gt;"",D326&gt;0.005),MIN(SUMIF(LumpN,A326,LumpAmt),D326-G326-H326),"")</f>
        <v/>
      </c>
      <c r="J326" s="42" t="str">
        <f aca="false">IF(AND(A326&lt;&gt;"",D326&gt;0.005),E326+H326+I326,"")</f>
        <v/>
      </c>
      <c r="K326" s="42" t="str">
        <f aca="false">IF(AND(A326&lt;&gt;"",D326&gt;0.005),ROUND(D326-G326-H326-I326,2),"")</f>
        <v/>
      </c>
      <c r="L326" s="41" t="str">
        <f aca="false">IF(AND(A326&lt;&gt;"",D326&gt;0.005),L325+F326,"")</f>
        <v/>
      </c>
      <c r="M326" s="41" t="str">
        <f aca="false">IF(AND(A326&lt;&gt;"",D326&gt;0.005),M325+G326+H326+I326,"")</f>
        <v/>
      </c>
      <c r="N326" s="43" t="str">
        <f aca="false">IF(B326="","",YEAR(B326))</f>
        <v/>
      </c>
      <c r="O326" s="44" t="n">
        <f aca="false">IF(AND(A326&lt;&gt;"",D326&gt;0.005),J326,0)</f>
        <v>0</v>
      </c>
      <c r="P326" s="44" t="n">
        <f aca="false">R325</f>
        <v>0</v>
      </c>
      <c r="Q326" s="44" t="n">
        <f aca="false">IF(AND(P326&gt;0.005,319&lt;=NPer),ROUND(P326*RP,2),0)</f>
        <v>0</v>
      </c>
      <c r="R326" s="44" t="n">
        <f aca="false">IF(AND(P326&gt;0.005,319&lt;=NPer),ROUND(P326-IF(319&lt;=Grace,0,IF(319=NPer,P326,IF(Method="Equal principal (reducing payments)",MIN(ROUND(EqPrin,2),P326),MIN(ROUND(Annuity-Q326,2),P326)))),2),0)</f>
        <v>0</v>
      </c>
    </row>
    <row r="327" customFormat="false" ht="15" hidden="false" customHeight="false" outlineLevel="0" collapsed="false">
      <c r="A327" s="38" t="str">
        <f aca="false">IF(AND(N(K326)&gt;0.005,A326&lt;NPer),A326+1,"")</f>
        <v/>
      </c>
      <c r="B327" s="39" t="str">
        <f aca="false">IF(A327="","",EDATE(Disb,A327*MPP))</f>
        <v/>
      </c>
      <c r="C327" s="40" t="str">
        <f aca="false">IF(A327="","",IF(A327&lt;=Grace,"Grace","Repayment"))</f>
        <v/>
      </c>
      <c r="D327" s="41" t="str">
        <f aca="false">IF(A327="","",K326)</f>
        <v/>
      </c>
      <c r="E327" s="41" t="str">
        <f aca="false">IF(AND(A327&lt;&gt;"",D327&gt;0.005),F327+G327,"")</f>
        <v/>
      </c>
      <c r="F327" s="41" t="str">
        <f aca="false">IF(AND(A327&lt;&gt;"",D327&gt;0.005),ROUND(D327*RP,2),"")</f>
        <v/>
      </c>
      <c r="G327" s="41" t="str">
        <f aca="false">IF(AND(A327&lt;&gt;"",D327&gt;0.005),IF(A327&lt;=Grace,0,IF(A327=NPer,D327,IF(Method="Equal principal (reducing payments)",MIN(ROUND(EqPrin,2),D327),MIN(ROUND(Annuity-F327,2),D327)))),"")</f>
        <v/>
      </c>
      <c r="H327" s="41" t="str">
        <f aca="false">IF(AND(A327&lt;&gt;"",D327&gt;0.005),IF(A327&lt;=Grace,0,MIN(Extra,D327-G327)),"")</f>
        <v/>
      </c>
      <c r="I327" s="41" t="str">
        <f aca="false">IF(AND(A327&lt;&gt;"",D327&gt;0.005),MIN(SUMIF(LumpN,A327,LumpAmt),D327-G327-H327),"")</f>
        <v/>
      </c>
      <c r="J327" s="42" t="str">
        <f aca="false">IF(AND(A327&lt;&gt;"",D327&gt;0.005),E327+H327+I327,"")</f>
        <v/>
      </c>
      <c r="K327" s="42" t="str">
        <f aca="false">IF(AND(A327&lt;&gt;"",D327&gt;0.005),ROUND(D327-G327-H327-I327,2),"")</f>
        <v/>
      </c>
      <c r="L327" s="41" t="str">
        <f aca="false">IF(AND(A327&lt;&gt;"",D327&gt;0.005),L326+F327,"")</f>
        <v/>
      </c>
      <c r="M327" s="41" t="str">
        <f aca="false">IF(AND(A327&lt;&gt;"",D327&gt;0.005),M326+G327+H327+I327,"")</f>
        <v/>
      </c>
      <c r="N327" s="43" t="str">
        <f aca="false">IF(B327="","",YEAR(B327))</f>
        <v/>
      </c>
      <c r="O327" s="44" t="n">
        <f aca="false">IF(AND(A327&lt;&gt;"",D327&gt;0.005),J327,0)</f>
        <v>0</v>
      </c>
      <c r="P327" s="44" t="n">
        <f aca="false">R326</f>
        <v>0</v>
      </c>
      <c r="Q327" s="44" t="n">
        <f aca="false">IF(AND(P327&gt;0.005,320&lt;=NPer),ROUND(P327*RP,2),0)</f>
        <v>0</v>
      </c>
      <c r="R327" s="44" t="n">
        <f aca="false">IF(AND(P327&gt;0.005,320&lt;=NPer),ROUND(P327-IF(320&lt;=Grace,0,IF(320=NPer,P327,IF(Method="Equal principal (reducing payments)",MIN(ROUND(EqPrin,2),P327),MIN(ROUND(Annuity-Q327,2),P327)))),2),0)</f>
        <v>0</v>
      </c>
    </row>
    <row r="328" customFormat="false" ht="15" hidden="false" customHeight="false" outlineLevel="0" collapsed="false">
      <c r="A328" s="38" t="str">
        <f aca="false">IF(AND(N(K327)&gt;0.005,A327&lt;NPer),A327+1,"")</f>
        <v/>
      </c>
      <c r="B328" s="39" t="str">
        <f aca="false">IF(A328="","",EDATE(Disb,A328*MPP))</f>
        <v/>
      </c>
      <c r="C328" s="40" t="str">
        <f aca="false">IF(A328="","",IF(A328&lt;=Grace,"Grace","Repayment"))</f>
        <v/>
      </c>
      <c r="D328" s="41" t="str">
        <f aca="false">IF(A328="","",K327)</f>
        <v/>
      </c>
      <c r="E328" s="41" t="str">
        <f aca="false">IF(AND(A328&lt;&gt;"",D328&gt;0.005),F328+G328,"")</f>
        <v/>
      </c>
      <c r="F328" s="41" t="str">
        <f aca="false">IF(AND(A328&lt;&gt;"",D328&gt;0.005),ROUND(D328*RP,2),"")</f>
        <v/>
      </c>
      <c r="G328" s="41" t="str">
        <f aca="false">IF(AND(A328&lt;&gt;"",D328&gt;0.005),IF(A328&lt;=Grace,0,IF(A328=NPer,D328,IF(Method="Equal principal (reducing payments)",MIN(ROUND(EqPrin,2),D328),MIN(ROUND(Annuity-F328,2),D328)))),"")</f>
        <v/>
      </c>
      <c r="H328" s="41" t="str">
        <f aca="false">IF(AND(A328&lt;&gt;"",D328&gt;0.005),IF(A328&lt;=Grace,0,MIN(Extra,D328-G328)),"")</f>
        <v/>
      </c>
      <c r="I328" s="41" t="str">
        <f aca="false">IF(AND(A328&lt;&gt;"",D328&gt;0.005),MIN(SUMIF(LumpN,A328,LumpAmt),D328-G328-H328),"")</f>
        <v/>
      </c>
      <c r="J328" s="42" t="str">
        <f aca="false">IF(AND(A328&lt;&gt;"",D328&gt;0.005),E328+H328+I328,"")</f>
        <v/>
      </c>
      <c r="K328" s="42" t="str">
        <f aca="false">IF(AND(A328&lt;&gt;"",D328&gt;0.005),ROUND(D328-G328-H328-I328,2),"")</f>
        <v/>
      </c>
      <c r="L328" s="41" t="str">
        <f aca="false">IF(AND(A328&lt;&gt;"",D328&gt;0.005),L327+F328,"")</f>
        <v/>
      </c>
      <c r="M328" s="41" t="str">
        <f aca="false">IF(AND(A328&lt;&gt;"",D328&gt;0.005),M327+G328+H328+I328,"")</f>
        <v/>
      </c>
      <c r="N328" s="43" t="str">
        <f aca="false">IF(B328="","",YEAR(B328))</f>
        <v/>
      </c>
      <c r="O328" s="44" t="n">
        <f aca="false">IF(AND(A328&lt;&gt;"",D328&gt;0.005),J328,0)</f>
        <v>0</v>
      </c>
      <c r="P328" s="44" t="n">
        <f aca="false">R327</f>
        <v>0</v>
      </c>
      <c r="Q328" s="44" t="n">
        <f aca="false">IF(AND(P328&gt;0.005,321&lt;=NPer),ROUND(P328*RP,2),0)</f>
        <v>0</v>
      </c>
      <c r="R328" s="44" t="n">
        <f aca="false">IF(AND(P328&gt;0.005,321&lt;=NPer),ROUND(P328-IF(321&lt;=Grace,0,IF(321=NPer,P328,IF(Method="Equal principal (reducing payments)",MIN(ROUND(EqPrin,2),P328),MIN(ROUND(Annuity-Q328,2),P328)))),2),0)</f>
        <v>0</v>
      </c>
    </row>
    <row r="329" customFormat="false" ht="15" hidden="false" customHeight="false" outlineLevel="0" collapsed="false">
      <c r="A329" s="38" t="str">
        <f aca="false">IF(AND(N(K328)&gt;0.005,A328&lt;NPer),A328+1,"")</f>
        <v/>
      </c>
      <c r="B329" s="39" t="str">
        <f aca="false">IF(A329="","",EDATE(Disb,A329*MPP))</f>
        <v/>
      </c>
      <c r="C329" s="40" t="str">
        <f aca="false">IF(A329="","",IF(A329&lt;=Grace,"Grace","Repayment"))</f>
        <v/>
      </c>
      <c r="D329" s="41" t="str">
        <f aca="false">IF(A329="","",K328)</f>
        <v/>
      </c>
      <c r="E329" s="41" t="str">
        <f aca="false">IF(AND(A329&lt;&gt;"",D329&gt;0.005),F329+G329,"")</f>
        <v/>
      </c>
      <c r="F329" s="41" t="str">
        <f aca="false">IF(AND(A329&lt;&gt;"",D329&gt;0.005),ROUND(D329*RP,2),"")</f>
        <v/>
      </c>
      <c r="G329" s="41" t="str">
        <f aca="false">IF(AND(A329&lt;&gt;"",D329&gt;0.005),IF(A329&lt;=Grace,0,IF(A329=NPer,D329,IF(Method="Equal principal (reducing payments)",MIN(ROUND(EqPrin,2),D329),MIN(ROUND(Annuity-F329,2),D329)))),"")</f>
        <v/>
      </c>
      <c r="H329" s="41" t="str">
        <f aca="false">IF(AND(A329&lt;&gt;"",D329&gt;0.005),IF(A329&lt;=Grace,0,MIN(Extra,D329-G329)),"")</f>
        <v/>
      </c>
      <c r="I329" s="41" t="str">
        <f aca="false">IF(AND(A329&lt;&gt;"",D329&gt;0.005),MIN(SUMIF(LumpN,A329,LumpAmt),D329-G329-H329),"")</f>
        <v/>
      </c>
      <c r="J329" s="42" t="str">
        <f aca="false">IF(AND(A329&lt;&gt;"",D329&gt;0.005),E329+H329+I329,"")</f>
        <v/>
      </c>
      <c r="K329" s="42" t="str">
        <f aca="false">IF(AND(A329&lt;&gt;"",D329&gt;0.005),ROUND(D329-G329-H329-I329,2),"")</f>
        <v/>
      </c>
      <c r="L329" s="41" t="str">
        <f aca="false">IF(AND(A329&lt;&gt;"",D329&gt;0.005),L328+F329,"")</f>
        <v/>
      </c>
      <c r="M329" s="41" t="str">
        <f aca="false">IF(AND(A329&lt;&gt;"",D329&gt;0.005),M328+G329+H329+I329,"")</f>
        <v/>
      </c>
      <c r="N329" s="43" t="str">
        <f aca="false">IF(B329="","",YEAR(B329))</f>
        <v/>
      </c>
      <c r="O329" s="44" t="n">
        <f aca="false">IF(AND(A329&lt;&gt;"",D329&gt;0.005),J329,0)</f>
        <v>0</v>
      </c>
      <c r="P329" s="44" t="n">
        <f aca="false">R328</f>
        <v>0</v>
      </c>
      <c r="Q329" s="44" t="n">
        <f aca="false">IF(AND(P329&gt;0.005,322&lt;=NPer),ROUND(P329*RP,2),0)</f>
        <v>0</v>
      </c>
      <c r="R329" s="44" t="n">
        <f aca="false">IF(AND(P329&gt;0.005,322&lt;=NPer),ROUND(P329-IF(322&lt;=Grace,0,IF(322=NPer,P329,IF(Method="Equal principal (reducing payments)",MIN(ROUND(EqPrin,2),P329),MIN(ROUND(Annuity-Q329,2),P329)))),2),0)</f>
        <v>0</v>
      </c>
    </row>
    <row r="330" customFormat="false" ht="15" hidden="false" customHeight="false" outlineLevel="0" collapsed="false">
      <c r="A330" s="38" t="str">
        <f aca="false">IF(AND(N(K329)&gt;0.005,A329&lt;NPer),A329+1,"")</f>
        <v/>
      </c>
      <c r="B330" s="39" t="str">
        <f aca="false">IF(A330="","",EDATE(Disb,A330*MPP))</f>
        <v/>
      </c>
      <c r="C330" s="40" t="str">
        <f aca="false">IF(A330="","",IF(A330&lt;=Grace,"Grace","Repayment"))</f>
        <v/>
      </c>
      <c r="D330" s="41" t="str">
        <f aca="false">IF(A330="","",K329)</f>
        <v/>
      </c>
      <c r="E330" s="41" t="str">
        <f aca="false">IF(AND(A330&lt;&gt;"",D330&gt;0.005),F330+G330,"")</f>
        <v/>
      </c>
      <c r="F330" s="41" t="str">
        <f aca="false">IF(AND(A330&lt;&gt;"",D330&gt;0.005),ROUND(D330*RP,2),"")</f>
        <v/>
      </c>
      <c r="G330" s="41" t="str">
        <f aca="false">IF(AND(A330&lt;&gt;"",D330&gt;0.005),IF(A330&lt;=Grace,0,IF(A330=NPer,D330,IF(Method="Equal principal (reducing payments)",MIN(ROUND(EqPrin,2),D330),MIN(ROUND(Annuity-F330,2),D330)))),"")</f>
        <v/>
      </c>
      <c r="H330" s="41" t="str">
        <f aca="false">IF(AND(A330&lt;&gt;"",D330&gt;0.005),IF(A330&lt;=Grace,0,MIN(Extra,D330-G330)),"")</f>
        <v/>
      </c>
      <c r="I330" s="41" t="str">
        <f aca="false">IF(AND(A330&lt;&gt;"",D330&gt;0.005),MIN(SUMIF(LumpN,A330,LumpAmt),D330-G330-H330),"")</f>
        <v/>
      </c>
      <c r="J330" s="42" t="str">
        <f aca="false">IF(AND(A330&lt;&gt;"",D330&gt;0.005),E330+H330+I330,"")</f>
        <v/>
      </c>
      <c r="K330" s="42" t="str">
        <f aca="false">IF(AND(A330&lt;&gt;"",D330&gt;0.005),ROUND(D330-G330-H330-I330,2),"")</f>
        <v/>
      </c>
      <c r="L330" s="41" t="str">
        <f aca="false">IF(AND(A330&lt;&gt;"",D330&gt;0.005),L329+F330,"")</f>
        <v/>
      </c>
      <c r="M330" s="41" t="str">
        <f aca="false">IF(AND(A330&lt;&gt;"",D330&gt;0.005),M329+G330+H330+I330,"")</f>
        <v/>
      </c>
      <c r="N330" s="43" t="str">
        <f aca="false">IF(B330="","",YEAR(B330))</f>
        <v/>
      </c>
      <c r="O330" s="44" t="n">
        <f aca="false">IF(AND(A330&lt;&gt;"",D330&gt;0.005),J330,0)</f>
        <v>0</v>
      </c>
      <c r="P330" s="44" t="n">
        <f aca="false">R329</f>
        <v>0</v>
      </c>
      <c r="Q330" s="44" t="n">
        <f aca="false">IF(AND(P330&gt;0.005,323&lt;=NPer),ROUND(P330*RP,2),0)</f>
        <v>0</v>
      </c>
      <c r="R330" s="44" t="n">
        <f aca="false">IF(AND(P330&gt;0.005,323&lt;=NPer),ROUND(P330-IF(323&lt;=Grace,0,IF(323=NPer,P330,IF(Method="Equal principal (reducing payments)",MIN(ROUND(EqPrin,2),P330),MIN(ROUND(Annuity-Q330,2),P330)))),2),0)</f>
        <v>0</v>
      </c>
    </row>
    <row r="331" customFormat="false" ht="15" hidden="false" customHeight="false" outlineLevel="0" collapsed="false">
      <c r="A331" s="38" t="str">
        <f aca="false">IF(AND(N(K330)&gt;0.005,A330&lt;NPer),A330+1,"")</f>
        <v/>
      </c>
      <c r="B331" s="39" t="str">
        <f aca="false">IF(A331="","",EDATE(Disb,A331*MPP))</f>
        <v/>
      </c>
      <c r="C331" s="40" t="str">
        <f aca="false">IF(A331="","",IF(A331&lt;=Grace,"Grace","Repayment"))</f>
        <v/>
      </c>
      <c r="D331" s="41" t="str">
        <f aca="false">IF(A331="","",K330)</f>
        <v/>
      </c>
      <c r="E331" s="41" t="str">
        <f aca="false">IF(AND(A331&lt;&gt;"",D331&gt;0.005),F331+G331,"")</f>
        <v/>
      </c>
      <c r="F331" s="41" t="str">
        <f aca="false">IF(AND(A331&lt;&gt;"",D331&gt;0.005),ROUND(D331*RP,2),"")</f>
        <v/>
      </c>
      <c r="G331" s="41" t="str">
        <f aca="false">IF(AND(A331&lt;&gt;"",D331&gt;0.005),IF(A331&lt;=Grace,0,IF(A331=NPer,D331,IF(Method="Equal principal (reducing payments)",MIN(ROUND(EqPrin,2),D331),MIN(ROUND(Annuity-F331,2),D331)))),"")</f>
        <v/>
      </c>
      <c r="H331" s="41" t="str">
        <f aca="false">IF(AND(A331&lt;&gt;"",D331&gt;0.005),IF(A331&lt;=Grace,0,MIN(Extra,D331-G331)),"")</f>
        <v/>
      </c>
      <c r="I331" s="41" t="str">
        <f aca="false">IF(AND(A331&lt;&gt;"",D331&gt;0.005),MIN(SUMIF(LumpN,A331,LumpAmt),D331-G331-H331),"")</f>
        <v/>
      </c>
      <c r="J331" s="42" t="str">
        <f aca="false">IF(AND(A331&lt;&gt;"",D331&gt;0.005),E331+H331+I331,"")</f>
        <v/>
      </c>
      <c r="K331" s="42" t="str">
        <f aca="false">IF(AND(A331&lt;&gt;"",D331&gt;0.005),ROUND(D331-G331-H331-I331,2),"")</f>
        <v/>
      </c>
      <c r="L331" s="41" t="str">
        <f aca="false">IF(AND(A331&lt;&gt;"",D331&gt;0.005),L330+F331,"")</f>
        <v/>
      </c>
      <c r="M331" s="41" t="str">
        <f aca="false">IF(AND(A331&lt;&gt;"",D331&gt;0.005),M330+G331+H331+I331,"")</f>
        <v/>
      </c>
      <c r="N331" s="43" t="str">
        <f aca="false">IF(B331="","",YEAR(B331))</f>
        <v/>
      </c>
      <c r="O331" s="44" t="n">
        <f aca="false">IF(AND(A331&lt;&gt;"",D331&gt;0.005),J331,0)</f>
        <v>0</v>
      </c>
      <c r="P331" s="44" t="n">
        <f aca="false">R330</f>
        <v>0</v>
      </c>
      <c r="Q331" s="44" t="n">
        <f aca="false">IF(AND(P331&gt;0.005,324&lt;=NPer),ROUND(P331*RP,2),0)</f>
        <v>0</v>
      </c>
      <c r="R331" s="44" t="n">
        <f aca="false">IF(AND(P331&gt;0.005,324&lt;=NPer),ROUND(P331-IF(324&lt;=Grace,0,IF(324=NPer,P331,IF(Method="Equal principal (reducing payments)",MIN(ROUND(EqPrin,2),P331),MIN(ROUND(Annuity-Q331,2),P331)))),2),0)</f>
        <v>0</v>
      </c>
    </row>
    <row r="332" customFormat="false" ht="15" hidden="false" customHeight="false" outlineLevel="0" collapsed="false">
      <c r="A332" s="38" t="str">
        <f aca="false">IF(AND(N(K331)&gt;0.005,A331&lt;NPer),A331+1,"")</f>
        <v/>
      </c>
      <c r="B332" s="39" t="str">
        <f aca="false">IF(A332="","",EDATE(Disb,A332*MPP))</f>
        <v/>
      </c>
      <c r="C332" s="40" t="str">
        <f aca="false">IF(A332="","",IF(A332&lt;=Grace,"Grace","Repayment"))</f>
        <v/>
      </c>
      <c r="D332" s="41" t="str">
        <f aca="false">IF(A332="","",K331)</f>
        <v/>
      </c>
      <c r="E332" s="41" t="str">
        <f aca="false">IF(AND(A332&lt;&gt;"",D332&gt;0.005),F332+G332,"")</f>
        <v/>
      </c>
      <c r="F332" s="41" t="str">
        <f aca="false">IF(AND(A332&lt;&gt;"",D332&gt;0.005),ROUND(D332*RP,2),"")</f>
        <v/>
      </c>
      <c r="G332" s="41" t="str">
        <f aca="false">IF(AND(A332&lt;&gt;"",D332&gt;0.005),IF(A332&lt;=Grace,0,IF(A332=NPer,D332,IF(Method="Equal principal (reducing payments)",MIN(ROUND(EqPrin,2),D332),MIN(ROUND(Annuity-F332,2),D332)))),"")</f>
        <v/>
      </c>
      <c r="H332" s="41" t="str">
        <f aca="false">IF(AND(A332&lt;&gt;"",D332&gt;0.005),IF(A332&lt;=Grace,0,MIN(Extra,D332-G332)),"")</f>
        <v/>
      </c>
      <c r="I332" s="41" t="str">
        <f aca="false">IF(AND(A332&lt;&gt;"",D332&gt;0.005),MIN(SUMIF(LumpN,A332,LumpAmt),D332-G332-H332),"")</f>
        <v/>
      </c>
      <c r="J332" s="42" t="str">
        <f aca="false">IF(AND(A332&lt;&gt;"",D332&gt;0.005),E332+H332+I332,"")</f>
        <v/>
      </c>
      <c r="K332" s="42" t="str">
        <f aca="false">IF(AND(A332&lt;&gt;"",D332&gt;0.005),ROUND(D332-G332-H332-I332,2),"")</f>
        <v/>
      </c>
      <c r="L332" s="41" t="str">
        <f aca="false">IF(AND(A332&lt;&gt;"",D332&gt;0.005),L331+F332,"")</f>
        <v/>
      </c>
      <c r="M332" s="41" t="str">
        <f aca="false">IF(AND(A332&lt;&gt;"",D332&gt;0.005),M331+G332+H332+I332,"")</f>
        <v/>
      </c>
      <c r="N332" s="43" t="str">
        <f aca="false">IF(B332="","",YEAR(B332))</f>
        <v/>
      </c>
      <c r="O332" s="44" t="n">
        <f aca="false">IF(AND(A332&lt;&gt;"",D332&gt;0.005),J332,0)</f>
        <v>0</v>
      </c>
      <c r="P332" s="44" t="n">
        <f aca="false">R331</f>
        <v>0</v>
      </c>
      <c r="Q332" s="44" t="n">
        <f aca="false">IF(AND(P332&gt;0.005,325&lt;=NPer),ROUND(P332*RP,2),0)</f>
        <v>0</v>
      </c>
      <c r="R332" s="44" t="n">
        <f aca="false">IF(AND(P332&gt;0.005,325&lt;=NPer),ROUND(P332-IF(325&lt;=Grace,0,IF(325=NPer,P332,IF(Method="Equal principal (reducing payments)",MIN(ROUND(EqPrin,2),P332),MIN(ROUND(Annuity-Q332,2),P332)))),2),0)</f>
        <v>0</v>
      </c>
    </row>
    <row r="333" customFormat="false" ht="15" hidden="false" customHeight="false" outlineLevel="0" collapsed="false">
      <c r="A333" s="38" t="str">
        <f aca="false">IF(AND(N(K332)&gt;0.005,A332&lt;NPer),A332+1,"")</f>
        <v/>
      </c>
      <c r="B333" s="39" t="str">
        <f aca="false">IF(A333="","",EDATE(Disb,A333*MPP))</f>
        <v/>
      </c>
      <c r="C333" s="40" t="str">
        <f aca="false">IF(A333="","",IF(A333&lt;=Grace,"Grace","Repayment"))</f>
        <v/>
      </c>
      <c r="D333" s="41" t="str">
        <f aca="false">IF(A333="","",K332)</f>
        <v/>
      </c>
      <c r="E333" s="41" t="str">
        <f aca="false">IF(AND(A333&lt;&gt;"",D333&gt;0.005),F333+G333,"")</f>
        <v/>
      </c>
      <c r="F333" s="41" t="str">
        <f aca="false">IF(AND(A333&lt;&gt;"",D333&gt;0.005),ROUND(D333*RP,2),"")</f>
        <v/>
      </c>
      <c r="G333" s="41" t="str">
        <f aca="false">IF(AND(A333&lt;&gt;"",D333&gt;0.005),IF(A333&lt;=Grace,0,IF(A333=NPer,D333,IF(Method="Equal principal (reducing payments)",MIN(ROUND(EqPrin,2),D333),MIN(ROUND(Annuity-F333,2),D333)))),"")</f>
        <v/>
      </c>
      <c r="H333" s="41" t="str">
        <f aca="false">IF(AND(A333&lt;&gt;"",D333&gt;0.005),IF(A333&lt;=Grace,0,MIN(Extra,D333-G333)),"")</f>
        <v/>
      </c>
      <c r="I333" s="41" t="str">
        <f aca="false">IF(AND(A333&lt;&gt;"",D333&gt;0.005),MIN(SUMIF(LumpN,A333,LumpAmt),D333-G333-H333),"")</f>
        <v/>
      </c>
      <c r="J333" s="42" t="str">
        <f aca="false">IF(AND(A333&lt;&gt;"",D333&gt;0.005),E333+H333+I333,"")</f>
        <v/>
      </c>
      <c r="K333" s="42" t="str">
        <f aca="false">IF(AND(A333&lt;&gt;"",D333&gt;0.005),ROUND(D333-G333-H333-I333,2),"")</f>
        <v/>
      </c>
      <c r="L333" s="41" t="str">
        <f aca="false">IF(AND(A333&lt;&gt;"",D333&gt;0.005),L332+F333,"")</f>
        <v/>
      </c>
      <c r="M333" s="41" t="str">
        <f aca="false">IF(AND(A333&lt;&gt;"",D333&gt;0.005),M332+G333+H333+I333,"")</f>
        <v/>
      </c>
      <c r="N333" s="43" t="str">
        <f aca="false">IF(B333="","",YEAR(B333))</f>
        <v/>
      </c>
      <c r="O333" s="44" t="n">
        <f aca="false">IF(AND(A333&lt;&gt;"",D333&gt;0.005),J333,0)</f>
        <v>0</v>
      </c>
      <c r="P333" s="44" t="n">
        <f aca="false">R332</f>
        <v>0</v>
      </c>
      <c r="Q333" s="44" t="n">
        <f aca="false">IF(AND(P333&gt;0.005,326&lt;=NPer),ROUND(P333*RP,2),0)</f>
        <v>0</v>
      </c>
      <c r="R333" s="44" t="n">
        <f aca="false">IF(AND(P333&gt;0.005,326&lt;=NPer),ROUND(P333-IF(326&lt;=Grace,0,IF(326=NPer,P333,IF(Method="Equal principal (reducing payments)",MIN(ROUND(EqPrin,2),P333),MIN(ROUND(Annuity-Q333,2),P333)))),2),0)</f>
        <v>0</v>
      </c>
    </row>
    <row r="334" customFormat="false" ht="15" hidden="false" customHeight="false" outlineLevel="0" collapsed="false">
      <c r="A334" s="38" t="str">
        <f aca="false">IF(AND(N(K333)&gt;0.005,A333&lt;NPer),A333+1,"")</f>
        <v/>
      </c>
      <c r="B334" s="39" t="str">
        <f aca="false">IF(A334="","",EDATE(Disb,A334*MPP))</f>
        <v/>
      </c>
      <c r="C334" s="40" t="str">
        <f aca="false">IF(A334="","",IF(A334&lt;=Grace,"Grace","Repayment"))</f>
        <v/>
      </c>
      <c r="D334" s="41" t="str">
        <f aca="false">IF(A334="","",K333)</f>
        <v/>
      </c>
      <c r="E334" s="41" t="str">
        <f aca="false">IF(AND(A334&lt;&gt;"",D334&gt;0.005),F334+G334,"")</f>
        <v/>
      </c>
      <c r="F334" s="41" t="str">
        <f aca="false">IF(AND(A334&lt;&gt;"",D334&gt;0.005),ROUND(D334*RP,2),"")</f>
        <v/>
      </c>
      <c r="G334" s="41" t="str">
        <f aca="false">IF(AND(A334&lt;&gt;"",D334&gt;0.005),IF(A334&lt;=Grace,0,IF(A334=NPer,D334,IF(Method="Equal principal (reducing payments)",MIN(ROUND(EqPrin,2),D334),MIN(ROUND(Annuity-F334,2),D334)))),"")</f>
        <v/>
      </c>
      <c r="H334" s="41" t="str">
        <f aca="false">IF(AND(A334&lt;&gt;"",D334&gt;0.005),IF(A334&lt;=Grace,0,MIN(Extra,D334-G334)),"")</f>
        <v/>
      </c>
      <c r="I334" s="41" t="str">
        <f aca="false">IF(AND(A334&lt;&gt;"",D334&gt;0.005),MIN(SUMIF(LumpN,A334,LumpAmt),D334-G334-H334),"")</f>
        <v/>
      </c>
      <c r="J334" s="42" t="str">
        <f aca="false">IF(AND(A334&lt;&gt;"",D334&gt;0.005),E334+H334+I334,"")</f>
        <v/>
      </c>
      <c r="K334" s="42" t="str">
        <f aca="false">IF(AND(A334&lt;&gt;"",D334&gt;0.005),ROUND(D334-G334-H334-I334,2),"")</f>
        <v/>
      </c>
      <c r="L334" s="41" t="str">
        <f aca="false">IF(AND(A334&lt;&gt;"",D334&gt;0.005),L333+F334,"")</f>
        <v/>
      </c>
      <c r="M334" s="41" t="str">
        <f aca="false">IF(AND(A334&lt;&gt;"",D334&gt;0.005),M333+G334+H334+I334,"")</f>
        <v/>
      </c>
      <c r="N334" s="43" t="str">
        <f aca="false">IF(B334="","",YEAR(B334))</f>
        <v/>
      </c>
      <c r="O334" s="44" t="n">
        <f aca="false">IF(AND(A334&lt;&gt;"",D334&gt;0.005),J334,0)</f>
        <v>0</v>
      </c>
      <c r="P334" s="44" t="n">
        <f aca="false">R333</f>
        <v>0</v>
      </c>
      <c r="Q334" s="44" t="n">
        <f aca="false">IF(AND(P334&gt;0.005,327&lt;=NPer),ROUND(P334*RP,2),0)</f>
        <v>0</v>
      </c>
      <c r="R334" s="44" t="n">
        <f aca="false">IF(AND(P334&gt;0.005,327&lt;=NPer),ROUND(P334-IF(327&lt;=Grace,0,IF(327=NPer,P334,IF(Method="Equal principal (reducing payments)",MIN(ROUND(EqPrin,2),P334),MIN(ROUND(Annuity-Q334,2),P334)))),2),0)</f>
        <v>0</v>
      </c>
    </row>
    <row r="335" customFormat="false" ht="15" hidden="false" customHeight="false" outlineLevel="0" collapsed="false">
      <c r="A335" s="38" t="str">
        <f aca="false">IF(AND(N(K334)&gt;0.005,A334&lt;NPer),A334+1,"")</f>
        <v/>
      </c>
      <c r="B335" s="39" t="str">
        <f aca="false">IF(A335="","",EDATE(Disb,A335*MPP))</f>
        <v/>
      </c>
      <c r="C335" s="40" t="str">
        <f aca="false">IF(A335="","",IF(A335&lt;=Grace,"Grace","Repayment"))</f>
        <v/>
      </c>
      <c r="D335" s="41" t="str">
        <f aca="false">IF(A335="","",K334)</f>
        <v/>
      </c>
      <c r="E335" s="41" t="str">
        <f aca="false">IF(AND(A335&lt;&gt;"",D335&gt;0.005),F335+G335,"")</f>
        <v/>
      </c>
      <c r="F335" s="41" t="str">
        <f aca="false">IF(AND(A335&lt;&gt;"",D335&gt;0.005),ROUND(D335*RP,2),"")</f>
        <v/>
      </c>
      <c r="G335" s="41" t="str">
        <f aca="false">IF(AND(A335&lt;&gt;"",D335&gt;0.005),IF(A335&lt;=Grace,0,IF(A335=NPer,D335,IF(Method="Equal principal (reducing payments)",MIN(ROUND(EqPrin,2),D335),MIN(ROUND(Annuity-F335,2),D335)))),"")</f>
        <v/>
      </c>
      <c r="H335" s="41" t="str">
        <f aca="false">IF(AND(A335&lt;&gt;"",D335&gt;0.005),IF(A335&lt;=Grace,0,MIN(Extra,D335-G335)),"")</f>
        <v/>
      </c>
      <c r="I335" s="41" t="str">
        <f aca="false">IF(AND(A335&lt;&gt;"",D335&gt;0.005),MIN(SUMIF(LumpN,A335,LumpAmt),D335-G335-H335),"")</f>
        <v/>
      </c>
      <c r="J335" s="42" t="str">
        <f aca="false">IF(AND(A335&lt;&gt;"",D335&gt;0.005),E335+H335+I335,"")</f>
        <v/>
      </c>
      <c r="K335" s="42" t="str">
        <f aca="false">IF(AND(A335&lt;&gt;"",D335&gt;0.005),ROUND(D335-G335-H335-I335,2),"")</f>
        <v/>
      </c>
      <c r="L335" s="41" t="str">
        <f aca="false">IF(AND(A335&lt;&gt;"",D335&gt;0.005),L334+F335,"")</f>
        <v/>
      </c>
      <c r="M335" s="41" t="str">
        <f aca="false">IF(AND(A335&lt;&gt;"",D335&gt;0.005),M334+G335+H335+I335,"")</f>
        <v/>
      </c>
      <c r="N335" s="43" t="str">
        <f aca="false">IF(B335="","",YEAR(B335))</f>
        <v/>
      </c>
      <c r="O335" s="44" t="n">
        <f aca="false">IF(AND(A335&lt;&gt;"",D335&gt;0.005),J335,0)</f>
        <v>0</v>
      </c>
      <c r="P335" s="44" t="n">
        <f aca="false">R334</f>
        <v>0</v>
      </c>
      <c r="Q335" s="44" t="n">
        <f aca="false">IF(AND(P335&gt;0.005,328&lt;=NPer),ROUND(P335*RP,2),0)</f>
        <v>0</v>
      </c>
      <c r="R335" s="44" t="n">
        <f aca="false">IF(AND(P335&gt;0.005,328&lt;=NPer),ROUND(P335-IF(328&lt;=Grace,0,IF(328=NPer,P335,IF(Method="Equal principal (reducing payments)",MIN(ROUND(EqPrin,2),P335),MIN(ROUND(Annuity-Q335,2),P335)))),2),0)</f>
        <v>0</v>
      </c>
    </row>
    <row r="336" customFormat="false" ht="15" hidden="false" customHeight="false" outlineLevel="0" collapsed="false">
      <c r="A336" s="38" t="str">
        <f aca="false">IF(AND(N(K335)&gt;0.005,A335&lt;NPer),A335+1,"")</f>
        <v/>
      </c>
      <c r="B336" s="39" t="str">
        <f aca="false">IF(A336="","",EDATE(Disb,A336*MPP))</f>
        <v/>
      </c>
      <c r="C336" s="40" t="str">
        <f aca="false">IF(A336="","",IF(A336&lt;=Grace,"Grace","Repayment"))</f>
        <v/>
      </c>
      <c r="D336" s="41" t="str">
        <f aca="false">IF(A336="","",K335)</f>
        <v/>
      </c>
      <c r="E336" s="41" t="str">
        <f aca="false">IF(AND(A336&lt;&gt;"",D336&gt;0.005),F336+G336,"")</f>
        <v/>
      </c>
      <c r="F336" s="41" t="str">
        <f aca="false">IF(AND(A336&lt;&gt;"",D336&gt;0.005),ROUND(D336*RP,2),"")</f>
        <v/>
      </c>
      <c r="G336" s="41" t="str">
        <f aca="false">IF(AND(A336&lt;&gt;"",D336&gt;0.005),IF(A336&lt;=Grace,0,IF(A336=NPer,D336,IF(Method="Equal principal (reducing payments)",MIN(ROUND(EqPrin,2),D336),MIN(ROUND(Annuity-F336,2),D336)))),"")</f>
        <v/>
      </c>
      <c r="H336" s="41" t="str">
        <f aca="false">IF(AND(A336&lt;&gt;"",D336&gt;0.005),IF(A336&lt;=Grace,0,MIN(Extra,D336-G336)),"")</f>
        <v/>
      </c>
      <c r="I336" s="41" t="str">
        <f aca="false">IF(AND(A336&lt;&gt;"",D336&gt;0.005),MIN(SUMIF(LumpN,A336,LumpAmt),D336-G336-H336),"")</f>
        <v/>
      </c>
      <c r="J336" s="42" t="str">
        <f aca="false">IF(AND(A336&lt;&gt;"",D336&gt;0.005),E336+H336+I336,"")</f>
        <v/>
      </c>
      <c r="K336" s="42" t="str">
        <f aca="false">IF(AND(A336&lt;&gt;"",D336&gt;0.005),ROUND(D336-G336-H336-I336,2),"")</f>
        <v/>
      </c>
      <c r="L336" s="41" t="str">
        <f aca="false">IF(AND(A336&lt;&gt;"",D336&gt;0.005),L335+F336,"")</f>
        <v/>
      </c>
      <c r="M336" s="41" t="str">
        <f aca="false">IF(AND(A336&lt;&gt;"",D336&gt;0.005),M335+G336+H336+I336,"")</f>
        <v/>
      </c>
      <c r="N336" s="43" t="str">
        <f aca="false">IF(B336="","",YEAR(B336))</f>
        <v/>
      </c>
      <c r="O336" s="44" t="n">
        <f aca="false">IF(AND(A336&lt;&gt;"",D336&gt;0.005),J336,0)</f>
        <v>0</v>
      </c>
      <c r="P336" s="44" t="n">
        <f aca="false">R335</f>
        <v>0</v>
      </c>
      <c r="Q336" s="44" t="n">
        <f aca="false">IF(AND(P336&gt;0.005,329&lt;=NPer),ROUND(P336*RP,2),0)</f>
        <v>0</v>
      </c>
      <c r="R336" s="44" t="n">
        <f aca="false">IF(AND(P336&gt;0.005,329&lt;=NPer),ROUND(P336-IF(329&lt;=Grace,0,IF(329=NPer,P336,IF(Method="Equal principal (reducing payments)",MIN(ROUND(EqPrin,2),P336),MIN(ROUND(Annuity-Q336,2),P336)))),2),0)</f>
        <v>0</v>
      </c>
    </row>
    <row r="337" customFormat="false" ht="15" hidden="false" customHeight="false" outlineLevel="0" collapsed="false">
      <c r="A337" s="38" t="str">
        <f aca="false">IF(AND(N(K336)&gt;0.005,A336&lt;NPer),A336+1,"")</f>
        <v/>
      </c>
      <c r="B337" s="39" t="str">
        <f aca="false">IF(A337="","",EDATE(Disb,A337*MPP))</f>
        <v/>
      </c>
      <c r="C337" s="40" t="str">
        <f aca="false">IF(A337="","",IF(A337&lt;=Grace,"Grace","Repayment"))</f>
        <v/>
      </c>
      <c r="D337" s="41" t="str">
        <f aca="false">IF(A337="","",K336)</f>
        <v/>
      </c>
      <c r="E337" s="41" t="str">
        <f aca="false">IF(AND(A337&lt;&gt;"",D337&gt;0.005),F337+G337,"")</f>
        <v/>
      </c>
      <c r="F337" s="41" t="str">
        <f aca="false">IF(AND(A337&lt;&gt;"",D337&gt;0.005),ROUND(D337*RP,2),"")</f>
        <v/>
      </c>
      <c r="G337" s="41" t="str">
        <f aca="false">IF(AND(A337&lt;&gt;"",D337&gt;0.005),IF(A337&lt;=Grace,0,IF(A337=NPer,D337,IF(Method="Equal principal (reducing payments)",MIN(ROUND(EqPrin,2),D337),MIN(ROUND(Annuity-F337,2),D337)))),"")</f>
        <v/>
      </c>
      <c r="H337" s="41" t="str">
        <f aca="false">IF(AND(A337&lt;&gt;"",D337&gt;0.005),IF(A337&lt;=Grace,0,MIN(Extra,D337-G337)),"")</f>
        <v/>
      </c>
      <c r="I337" s="41" t="str">
        <f aca="false">IF(AND(A337&lt;&gt;"",D337&gt;0.005),MIN(SUMIF(LumpN,A337,LumpAmt),D337-G337-H337),"")</f>
        <v/>
      </c>
      <c r="J337" s="42" t="str">
        <f aca="false">IF(AND(A337&lt;&gt;"",D337&gt;0.005),E337+H337+I337,"")</f>
        <v/>
      </c>
      <c r="K337" s="42" t="str">
        <f aca="false">IF(AND(A337&lt;&gt;"",D337&gt;0.005),ROUND(D337-G337-H337-I337,2),"")</f>
        <v/>
      </c>
      <c r="L337" s="41" t="str">
        <f aca="false">IF(AND(A337&lt;&gt;"",D337&gt;0.005),L336+F337,"")</f>
        <v/>
      </c>
      <c r="M337" s="41" t="str">
        <f aca="false">IF(AND(A337&lt;&gt;"",D337&gt;0.005),M336+G337+H337+I337,"")</f>
        <v/>
      </c>
      <c r="N337" s="43" t="str">
        <f aca="false">IF(B337="","",YEAR(B337))</f>
        <v/>
      </c>
      <c r="O337" s="44" t="n">
        <f aca="false">IF(AND(A337&lt;&gt;"",D337&gt;0.005),J337,0)</f>
        <v>0</v>
      </c>
      <c r="P337" s="44" t="n">
        <f aca="false">R336</f>
        <v>0</v>
      </c>
      <c r="Q337" s="44" t="n">
        <f aca="false">IF(AND(P337&gt;0.005,330&lt;=NPer),ROUND(P337*RP,2),0)</f>
        <v>0</v>
      </c>
      <c r="R337" s="44" t="n">
        <f aca="false">IF(AND(P337&gt;0.005,330&lt;=NPer),ROUND(P337-IF(330&lt;=Grace,0,IF(330=NPer,P337,IF(Method="Equal principal (reducing payments)",MIN(ROUND(EqPrin,2),P337),MIN(ROUND(Annuity-Q337,2),P337)))),2),0)</f>
        <v>0</v>
      </c>
    </row>
    <row r="338" customFormat="false" ht="15" hidden="false" customHeight="false" outlineLevel="0" collapsed="false">
      <c r="A338" s="38" t="str">
        <f aca="false">IF(AND(N(K337)&gt;0.005,A337&lt;NPer),A337+1,"")</f>
        <v/>
      </c>
      <c r="B338" s="39" t="str">
        <f aca="false">IF(A338="","",EDATE(Disb,A338*MPP))</f>
        <v/>
      </c>
      <c r="C338" s="40" t="str">
        <f aca="false">IF(A338="","",IF(A338&lt;=Grace,"Grace","Repayment"))</f>
        <v/>
      </c>
      <c r="D338" s="41" t="str">
        <f aca="false">IF(A338="","",K337)</f>
        <v/>
      </c>
      <c r="E338" s="41" t="str">
        <f aca="false">IF(AND(A338&lt;&gt;"",D338&gt;0.005),F338+G338,"")</f>
        <v/>
      </c>
      <c r="F338" s="41" t="str">
        <f aca="false">IF(AND(A338&lt;&gt;"",D338&gt;0.005),ROUND(D338*RP,2),"")</f>
        <v/>
      </c>
      <c r="G338" s="41" t="str">
        <f aca="false">IF(AND(A338&lt;&gt;"",D338&gt;0.005),IF(A338&lt;=Grace,0,IF(A338=NPer,D338,IF(Method="Equal principal (reducing payments)",MIN(ROUND(EqPrin,2),D338),MIN(ROUND(Annuity-F338,2),D338)))),"")</f>
        <v/>
      </c>
      <c r="H338" s="41" t="str">
        <f aca="false">IF(AND(A338&lt;&gt;"",D338&gt;0.005),IF(A338&lt;=Grace,0,MIN(Extra,D338-G338)),"")</f>
        <v/>
      </c>
      <c r="I338" s="41" t="str">
        <f aca="false">IF(AND(A338&lt;&gt;"",D338&gt;0.005),MIN(SUMIF(LumpN,A338,LumpAmt),D338-G338-H338),"")</f>
        <v/>
      </c>
      <c r="J338" s="42" t="str">
        <f aca="false">IF(AND(A338&lt;&gt;"",D338&gt;0.005),E338+H338+I338,"")</f>
        <v/>
      </c>
      <c r="K338" s="42" t="str">
        <f aca="false">IF(AND(A338&lt;&gt;"",D338&gt;0.005),ROUND(D338-G338-H338-I338,2),"")</f>
        <v/>
      </c>
      <c r="L338" s="41" t="str">
        <f aca="false">IF(AND(A338&lt;&gt;"",D338&gt;0.005),L337+F338,"")</f>
        <v/>
      </c>
      <c r="M338" s="41" t="str">
        <f aca="false">IF(AND(A338&lt;&gt;"",D338&gt;0.005),M337+G338+H338+I338,"")</f>
        <v/>
      </c>
      <c r="N338" s="43" t="str">
        <f aca="false">IF(B338="","",YEAR(B338))</f>
        <v/>
      </c>
      <c r="O338" s="44" t="n">
        <f aca="false">IF(AND(A338&lt;&gt;"",D338&gt;0.005),J338,0)</f>
        <v>0</v>
      </c>
      <c r="P338" s="44" t="n">
        <f aca="false">R337</f>
        <v>0</v>
      </c>
      <c r="Q338" s="44" t="n">
        <f aca="false">IF(AND(P338&gt;0.005,331&lt;=NPer),ROUND(P338*RP,2),0)</f>
        <v>0</v>
      </c>
      <c r="R338" s="44" t="n">
        <f aca="false">IF(AND(P338&gt;0.005,331&lt;=NPer),ROUND(P338-IF(331&lt;=Grace,0,IF(331=NPer,P338,IF(Method="Equal principal (reducing payments)",MIN(ROUND(EqPrin,2),P338),MIN(ROUND(Annuity-Q338,2),P338)))),2),0)</f>
        <v>0</v>
      </c>
    </row>
    <row r="339" customFormat="false" ht="15" hidden="false" customHeight="false" outlineLevel="0" collapsed="false">
      <c r="A339" s="38" t="str">
        <f aca="false">IF(AND(N(K338)&gt;0.005,A338&lt;NPer),A338+1,"")</f>
        <v/>
      </c>
      <c r="B339" s="39" t="str">
        <f aca="false">IF(A339="","",EDATE(Disb,A339*MPP))</f>
        <v/>
      </c>
      <c r="C339" s="40" t="str">
        <f aca="false">IF(A339="","",IF(A339&lt;=Grace,"Grace","Repayment"))</f>
        <v/>
      </c>
      <c r="D339" s="41" t="str">
        <f aca="false">IF(A339="","",K338)</f>
        <v/>
      </c>
      <c r="E339" s="41" t="str">
        <f aca="false">IF(AND(A339&lt;&gt;"",D339&gt;0.005),F339+G339,"")</f>
        <v/>
      </c>
      <c r="F339" s="41" t="str">
        <f aca="false">IF(AND(A339&lt;&gt;"",D339&gt;0.005),ROUND(D339*RP,2),"")</f>
        <v/>
      </c>
      <c r="G339" s="41" t="str">
        <f aca="false">IF(AND(A339&lt;&gt;"",D339&gt;0.005),IF(A339&lt;=Grace,0,IF(A339=NPer,D339,IF(Method="Equal principal (reducing payments)",MIN(ROUND(EqPrin,2),D339),MIN(ROUND(Annuity-F339,2),D339)))),"")</f>
        <v/>
      </c>
      <c r="H339" s="41" t="str">
        <f aca="false">IF(AND(A339&lt;&gt;"",D339&gt;0.005),IF(A339&lt;=Grace,0,MIN(Extra,D339-G339)),"")</f>
        <v/>
      </c>
      <c r="I339" s="41" t="str">
        <f aca="false">IF(AND(A339&lt;&gt;"",D339&gt;0.005),MIN(SUMIF(LumpN,A339,LumpAmt),D339-G339-H339),"")</f>
        <v/>
      </c>
      <c r="J339" s="42" t="str">
        <f aca="false">IF(AND(A339&lt;&gt;"",D339&gt;0.005),E339+H339+I339,"")</f>
        <v/>
      </c>
      <c r="K339" s="42" t="str">
        <f aca="false">IF(AND(A339&lt;&gt;"",D339&gt;0.005),ROUND(D339-G339-H339-I339,2),"")</f>
        <v/>
      </c>
      <c r="L339" s="41" t="str">
        <f aca="false">IF(AND(A339&lt;&gt;"",D339&gt;0.005),L338+F339,"")</f>
        <v/>
      </c>
      <c r="M339" s="41" t="str">
        <f aca="false">IF(AND(A339&lt;&gt;"",D339&gt;0.005),M338+G339+H339+I339,"")</f>
        <v/>
      </c>
      <c r="N339" s="43" t="str">
        <f aca="false">IF(B339="","",YEAR(B339))</f>
        <v/>
      </c>
      <c r="O339" s="44" t="n">
        <f aca="false">IF(AND(A339&lt;&gt;"",D339&gt;0.005),J339,0)</f>
        <v>0</v>
      </c>
      <c r="P339" s="44" t="n">
        <f aca="false">R338</f>
        <v>0</v>
      </c>
      <c r="Q339" s="44" t="n">
        <f aca="false">IF(AND(P339&gt;0.005,332&lt;=NPer),ROUND(P339*RP,2),0)</f>
        <v>0</v>
      </c>
      <c r="R339" s="44" t="n">
        <f aca="false">IF(AND(P339&gt;0.005,332&lt;=NPer),ROUND(P339-IF(332&lt;=Grace,0,IF(332=NPer,P339,IF(Method="Equal principal (reducing payments)",MIN(ROUND(EqPrin,2),P339),MIN(ROUND(Annuity-Q339,2),P339)))),2),0)</f>
        <v>0</v>
      </c>
    </row>
    <row r="340" customFormat="false" ht="15" hidden="false" customHeight="false" outlineLevel="0" collapsed="false">
      <c r="A340" s="38" t="str">
        <f aca="false">IF(AND(N(K339)&gt;0.005,A339&lt;NPer),A339+1,"")</f>
        <v/>
      </c>
      <c r="B340" s="39" t="str">
        <f aca="false">IF(A340="","",EDATE(Disb,A340*MPP))</f>
        <v/>
      </c>
      <c r="C340" s="40" t="str">
        <f aca="false">IF(A340="","",IF(A340&lt;=Grace,"Grace","Repayment"))</f>
        <v/>
      </c>
      <c r="D340" s="41" t="str">
        <f aca="false">IF(A340="","",K339)</f>
        <v/>
      </c>
      <c r="E340" s="41" t="str">
        <f aca="false">IF(AND(A340&lt;&gt;"",D340&gt;0.005),F340+G340,"")</f>
        <v/>
      </c>
      <c r="F340" s="41" t="str">
        <f aca="false">IF(AND(A340&lt;&gt;"",D340&gt;0.005),ROUND(D340*RP,2),"")</f>
        <v/>
      </c>
      <c r="G340" s="41" t="str">
        <f aca="false">IF(AND(A340&lt;&gt;"",D340&gt;0.005),IF(A340&lt;=Grace,0,IF(A340=NPer,D340,IF(Method="Equal principal (reducing payments)",MIN(ROUND(EqPrin,2),D340),MIN(ROUND(Annuity-F340,2),D340)))),"")</f>
        <v/>
      </c>
      <c r="H340" s="41" t="str">
        <f aca="false">IF(AND(A340&lt;&gt;"",D340&gt;0.005),IF(A340&lt;=Grace,0,MIN(Extra,D340-G340)),"")</f>
        <v/>
      </c>
      <c r="I340" s="41" t="str">
        <f aca="false">IF(AND(A340&lt;&gt;"",D340&gt;0.005),MIN(SUMIF(LumpN,A340,LumpAmt),D340-G340-H340),"")</f>
        <v/>
      </c>
      <c r="J340" s="42" t="str">
        <f aca="false">IF(AND(A340&lt;&gt;"",D340&gt;0.005),E340+H340+I340,"")</f>
        <v/>
      </c>
      <c r="K340" s="42" t="str">
        <f aca="false">IF(AND(A340&lt;&gt;"",D340&gt;0.005),ROUND(D340-G340-H340-I340,2),"")</f>
        <v/>
      </c>
      <c r="L340" s="41" t="str">
        <f aca="false">IF(AND(A340&lt;&gt;"",D340&gt;0.005),L339+F340,"")</f>
        <v/>
      </c>
      <c r="M340" s="41" t="str">
        <f aca="false">IF(AND(A340&lt;&gt;"",D340&gt;0.005),M339+G340+H340+I340,"")</f>
        <v/>
      </c>
      <c r="N340" s="43" t="str">
        <f aca="false">IF(B340="","",YEAR(B340))</f>
        <v/>
      </c>
      <c r="O340" s="44" t="n">
        <f aca="false">IF(AND(A340&lt;&gt;"",D340&gt;0.005),J340,0)</f>
        <v>0</v>
      </c>
      <c r="P340" s="44" t="n">
        <f aca="false">R339</f>
        <v>0</v>
      </c>
      <c r="Q340" s="44" t="n">
        <f aca="false">IF(AND(P340&gt;0.005,333&lt;=NPer),ROUND(P340*RP,2),0)</f>
        <v>0</v>
      </c>
      <c r="R340" s="44" t="n">
        <f aca="false">IF(AND(P340&gt;0.005,333&lt;=NPer),ROUND(P340-IF(333&lt;=Grace,0,IF(333=NPer,P340,IF(Method="Equal principal (reducing payments)",MIN(ROUND(EqPrin,2),P340),MIN(ROUND(Annuity-Q340,2),P340)))),2),0)</f>
        <v>0</v>
      </c>
    </row>
    <row r="341" customFormat="false" ht="15" hidden="false" customHeight="false" outlineLevel="0" collapsed="false">
      <c r="A341" s="38" t="str">
        <f aca="false">IF(AND(N(K340)&gt;0.005,A340&lt;NPer),A340+1,"")</f>
        <v/>
      </c>
      <c r="B341" s="39" t="str">
        <f aca="false">IF(A341="","",EDATE(Disb,A341*MPP))</f>
        <v/>
      </c>
      <c r="C341" s="40" t="str">
        <f aca="false">IF(A341="","",IF(A341&lt;=Grace,"Grace","Repayment"))</f>
        <v/>
      </c>
      <c r="D341" s="41" t="str">
        <f aca="false">IF(A341="","",K340)</f>
        <v/>
      </c>
      <c r="E341" s="41" t="str">
        <f aca="false">IF(AND(A341&lt;&gt;"",D341&gt;0.005),F341+G341,"")</f>
        <v/>
      </c>
      <c r="F341" s="41" t="str">
        <f aca="false">IF(AND(A341&lt;&gt;"",D341&gt;0.005),ROUND(D341*RP,2),"")</f>
        <v/>
      </c>
      <c r="G341" s="41" t="str">
        <f aca="false">IF(AND(A341&lt;&gt;"",D341&gt;0.005),IF(A341&lt;=Grace,0,IF(A341=NPer,D341,IF(Method="Equal principal (reducing payments)",MIN(ROUND(EqPrin,2),D341),MIN(ROUND(Annuity-F341,2),D341)))),"")</f>
        <v/>
      </c>
      <c r="H341" s="41" t="str">
        <f aca="false">IF(AND(A341&lt;&gt;"",D341&gt;0.005),IF(A341&lt;=Grace,0,MIN(Extra,D341-G341)),"")</f>
        <v/>
      </c>
      <c r="I341" s="41" t="str">
        <f aca="false">IF(AND(A341&lt;&gt;"",D341&gt;0.005),MIN(SUMIF(LumpN,A341,LumpAmt),D341-G341-H341),"")</f>
        <v/>
      </c>
      <c r="J341" s="42" t="str">
        <f aca="false">IF(AND(A341&lt;&gt;"",D341&gt;0.005),E341+H341+I341,"")</f>
        <v/>
      </c>
      <c r="K341" s="42" t="str">
        <f aca="false">IF(AND(A341&lt;&gt;"",D341&gt;0.005),ROUND(D341-G341-H341-I341,2),"")</f>
        <v/>
      </c>
      <c r="L341" s="41" t="str">
        <f aca="false">IF(AND(A341&lt;&gt;"",D341&gt;0.005),L340+F341,"")</f>
        <v/>
      </c>
      <c r="M341" s="41" t="str">
        <f aca="false">IF(AND(A341&lt;&gt;"",D341&gt;0.005),M340+G341+H341+I341,"")</f>
        <v/>
      </c>
      <c r="N341" s="43" t="str">
        <f aca="false">IF(B341="","",YEAR(B341))</f>
        <v/>
      </c>
      <c r="O341" s="44" t="n">
        <f aca="false">IF(AND(A341&lt;&gt;"",D341&gt;0.005),J341,0)</f>
        <v>0</v>
      </c>
      <c r="P341" s="44" t="n">
        <f aca="false">R340</f>
        <v>0</v>
      </c>
      <c r="Q341" s="44" t="n">
        <f aca="false">IF(AND(P341&gt;0.005,334&lt;=NPer),ROUND(P341*RP,2),0)</f>
        <v>0</v>
      </c>
      <c r="R341" s="44" t="n">
        <f aca="false">IF(AND(P341&gt;0.005,334&lt;=NPer),ROUND(P341-IF(334&lt;=Grace,0,IF(334=NPer,P341,IF(Method="Equal principal (reducing payments)",MIN(ROUND(EqPrin,2),P341),MIN(ROUND(Annuity-Q341,2),P341)))),2),0)</f>
        <v>0</v>
      </c>
    </row>
    <row r="342" customFormat="false" ht="15" hidden="false" customHeight="false" outlineLevel="0" collapsed="false">
      <c r="A342" s="38" t="str">
        <f aca="false">IF(AND(N(K341)&gt;0.005,A341&lt;NPer),A341+1,"")</f>
        <v/>
      </c>
      <c r="B342" s="39" t="str">
        <f aca="false">IF(A342="","",EDATE(Disb,A342*MPP))</f>
        <v/>
      </c>
      <c r="C342" s="40" t="str">
        <f aca="false">IF(A342="","",IF(A342&lt;=Grace,"Grace","Repayment"))</f>
        <v/>
      </c>
      <c r="D342" s="41" t="str">
        <f aca="false">IF(A342="","",K341)</f>
        <v/>
      </c>
      <c r="E342" s="41" t="str">
        <f aca="false">IF(AND(A342&lt;&gt;"",D342&gt;0.005),F342+G342,"")</f>
        <v/>
      </c>
      <c r="F342" s="41" t="str">
        <f aca="false">IF(AND(A342&lt;&gt;"",D342&gt;0.005),ROUND(D342*RP,2),"")</f>
        <v/>
      </c>
      <c r="G342" s="41" t="str">
        <f aca="false">IF(AND(A342&lt;&gt;"",D342&gt;0.005),IF(A342&lt;=Grace,0,IF(A342=NPer,D342,IF(Method="Equal principal (reducing payments)",MIN(ROUND(EqPrin,2),D342),MIN(ROUND(Annuity-F342,2),D342)))),"")</f>
        <v/>
      </c>
      <c r="H342" s="41" t="str">
        <f aca="false">IF(AND(A342&lt;&gt;"",D342&gt;0.005),IF(A342&lt;=Grace,0,MIN(Extra,D342-G342)),"")</f>
        <v/>
      </c>
      <c r="I342" s="41" t="str">
        <f aca="false">IF(AND(A342&lt;&gt;"",D342&gt;0.005),MIN(SUMIF(LumpN,A342,LumpAmt),D342-G342-H342),"")</f>
        <v/>
      </c>
      <c r="J342" s="42" t="str">
        <f aca="false">IF(AND(A342&lt;&gt;"",D342&gt;0.005),E342+H342+I342,"")</f>
        <v/>
      </c>
      <c r="K342" s="42" t="str">
        <f aca="false">IF(AND(A342&lt;&gt;"",D342&gt;0.005),ROUND(D342-G342-H342-I342,2),"")</f>
        <v/>
      </c>
      <c r="L342" s="41" t="str">
        <f aca="false">IF(AND(A342&lt;&gt;"",D342&gt;0.005),L341+F342,"")</f>
        <v/>
      </c>
      <c r="M342" s="41" t="str">
        <f aca="false">IF(AND(A342&lt;&gt;"",D342&gt;0.005),M341+G342+H342+I342,"")</f>
        <v/>
      </c>
      <c r="N342" s="43" t="str">
        <f aca="false">IF(B342="","",YEAR(B342))</f>
        <v/>
      </c>
      <c r="O342" s="44" t="n">
        <f aca="false">IF(AND(A342&lt;&gt;"",D342&gt;0.005),J342,0)</f>
        <v>0</v>
      </c>
      <c r="P342" s="44" t="n">
        <f aca="false">R341</f>
        <v>0</v>
      </c>
      <c r="Q342" s="44" t="n">
        <f aca="false">IF(AND(P342&gt;0.005,335&lt;=NPer),ROUND(P342*RP,2),0)</f>
        <v>0</v>
      </c>
      <c r="R342" s="44" t="n">
        <f aca="false">IF(AND(P342&gt;0.005,335&lt;=NPer),ROUND(P342-IF(335&lt;=Grace,0,IF(335=NPer,P342,IF(Method="Equal principal (reducing payments)",MIN(ROUND(EqPrin,2),P342),MIN(ROUND(Annuity-Q342,2),P342)))),2),0)</f>
        <v>0</v>
      </c>
    </row>
    <row r="343" customFormat="false" ht="15" hidden="false" customHeight="false" outlineLevel="0" collapsed="false">
      <c r="A343" s="38" t="str">
        <f aca="false">IF(AND(N(K342)&gt;0.005,A342&lt;NPer),A342+1,"")</f>
        <v/>
      </c>
      <c r="B343" s="39" t="str">
        <f aca="false">IF(A343="","",EDATE(Disb,A343*MPP))</f>
        <v/>
      </c>
      <c r="C343" s="40" t="str">
        <f aca="false">IF(A343="","",IF(A343&lt;=Grace,"Grace","Repayment"))</f>
        <v/>
      </c>
      <c r="D343" s="41" t="str">
        <f aca="false">IF(A343="","",K342)</f>
        <v/>
      </c>
      <c r="E343" s="41" t="str">
        <f aca="false">IF(AND(A343&lt;&gt;"",D343&gt;0.005),F343+G343,"")</f>
        <v/>
      </c>
      <c r="F343" s="41" t="str">
        <f aca="false">IF(AND(A343&lt;&gt;"",D343&gt;0.005),ROUND(D343*RP,2),"")</f>
        <v/>
      </c>
      <c r="G343" s="41" t="str">
        <f aca="false">IF(AND(A343&lt;&gt;"",D343&gt;0.005),IF(A343&lt;=Grace,0,IF(A343=NPer,D343,IF(Method="Equal principal (reducing payments)",MIN(ROUND(EqPrin,2),D343),MIN(ROUND(Annuity-F343,2),D343)))),"")</f>
        <v/>
      </c>
      <c r="H343" s="41" t="str">
        <f aca="false">IF(AND(A343&lt;&gt;"",D343&gt;0.005),IF(A343&lt;=Grace,0,MIN(Extra,D343-G343)),"")</f>
        <v/>
      </c>
      <c r="I343" s="41" t="str">
        <f aca="false">IF(AND(A343&lt;&gt;"",D343&gt;0.005),MIN(SUMIF(LumpN,A343,LumpAmt),D343-G343-H343),"")</f>
        <v/>
      </c>
      <c r="J343" s="42" t="str">
        <f aca="false">IF(AND(A343&lt;&gt;"",D343&gt;0.005),E343+H343+I343,"")</f>
        <v/>
      </c>
      <c r="K343" s="42" t="str">
        <f aca="false">IF(AND(A343&lt;&gt;"",D343&gt;0.005),ROUND(D343-G343-H343-I343,2),"")</f>
        <v/>
      </c>
      <c r="L343" s="41" t="str">
        <f aca="false">IF(AND(A343&lt;&gt;"",D343&gt;0.005),L342+F343,"")</f>
        <v/>
      </c>
      <c r="M343" s="41" t="str">
        <f aca="false">IF(AND(A343&lt;&gt;"",D343&gt;0.005),M342+G343+H343+I343,"")</f>
        <v/>
      </c>
      <c r="N343" s="43" t="str">
        <f aca="false">IF(B343="","",YEAR(B343))</f>
        <v/>
      </c>
      <c r="O343" s="44" t="n">
        <f aca="false">IF(AND(A343&lt;&gt;"",D343&gt;0.005),J343,0)</f>
        <v>0</v>
      </c>
      <c r="P343" s="44" t="n">
        <f aca="false">R342</f>
        <v>0</v>
      </c>
      <c r="Q343" s="44" t="n">
        <f aca="false">IF(AND(P343&gt;0.005,336&lt;=NPer),ROUND(P343*RP,2),0)</f>
        <v>0</v>
      </c>
      <c r="R343" s="44" t="n">
        <f aca="false">IF(AND(P343&gt;0.005,336&lt;=NPer),ROUND(P343-IF(336&lt;=Grace,0,IF(336=NPer,P343,IF(Method="Equal principal (reducing payments)",MIN(ROUND(EqPrin,2),P343),MIN(ROUND(Annuity-Q343,2),P343)))),2),0)</f>
        <v>0</v>
      </c>
    </row>
    <row r="344" customFormat="false" ht="15" hidden="false" customHeight="false" outlineLevel="0" collapsed="false">
      <c r="A344" s="38" t="str">
        <f aca="false">IF(AND(N(K343)&gt;0.005,A343&lt;NPer),A343+1,"")</f>
        <v/>
      </c>
      <c r="B344" s="39" t="str">
        <f aca="false">IF(A344="","",EDATE(Disb,A344*MPP))</f>
        <v/>
      </c>
      <c r="C344" s="40" t="str">
        <f aca="false">IF(A344="","",IF(A344&lt;=Grace,"Grace","Repayment"))</f>
        <v/>
      </c>
      <c r="D344" s="41" t="str">
        <f aca="false">IF(A344="","",K343)</f>
        <v/>
      </c>
      <c r="E344" s="41" t="str">
        <f aca="false">IF(AND(A344&lt;&gt;"",D344&gt;0.005),F344+G344,"")</f>
        <v/>
      </c>
      <c r="F344" s="41" t="str">
        <f aca="false">IF(AND(A344&lt;&gt;"",D344&gt;0.005),ROUND(D344*RP,2),"")</f>
        <v/>
      </c>
      <c r="G344" s="41" t="str">
        <f aca="false">IF(AND(A344&lt;&gt;"",D344&gt;0.005),IF(A344&lt;=Grace,0,IF(A344=NPer,D344,IF(Method="Equal principal (reducing payments)",MIN(ROUND(EqPrin,2),D344),MIN(ROUND(Annuity-F344,2),D344)))),"")</f>
        <v/>
      </c>
      <c r="H344" s="41" t="str">
        <f aca="false">IF(AND(A344&lt;&gt;"",D344&gt;0.005),IF(A344&lt;=Grace,0,MIN(Extra,D344-G344)),"")</f>
        <v/>
      </c>
      <c r="I344" s="41" t="str">
        <f aca="false">IF(AND(A344&lt;&gt;"",D344&gt;0.005),MIN(SUMIF(LumpN,A344,LumpAmt),D344-G344-H344),"")</f>
        <v/>
      </c>
      <c r="J344" s="42" t="str">
        <f aca="false">IF(AND(A344&lt;&gt;"",D344&gt;0.005),E344+H344+I344,"")</f>
        <v/>
      </c>
      <c r="K344" s="42" t="str">
        <f aca="false">IF(AND(A344&lt;&gt;"",D344&gt;0.005),ROUND(D344-G344-H344-I344,2),"")</f>
        <v/>
      </c>
      <c r="L344" s="41" t="str">
        <f aca="false">IF(AND(A344&lt;&gt;"",D344&gt;0.005),L343+F344,"")</f>
        <v/>
      </c>
      <c r="M344" s="41" t="str">
        <f aca="false">IF(AND(A344&lt;&gt;"",D344&gt;0.005),M343+G344+H344+I344,"")</f>
        <v/>
      </c>
      <c r="N344" s="43" t="str">
        <f aca="false">IF(B344="","",YEAR(B344))</f>
        <v/>
      </c>
      <c r="O344" s="44" t="n">
        <f aca="false">IF(AND(A344&lt;&gt;"",D344&gt;0.005),J344,0)</f>
        <v>0</v>
      </c>
      <c r="P344" s="44" t="n">
        <f aca="false">R343</f>
        <v>0</v>
      </c>
      <c r="Q344" s="44" t="n">
        <f aca="false">IF(AND(P344&gt;0.005,337&lt;=NPer),ROUND(P344*RP,2),0)</f>
        <v>0</v>
      </c>
      <c r="R344" s="44" t="n">
        <f aca="false">IF(AND(P344&gt;0.005,337&lt;=NPer),ROUND(P344-IF(337&lt;=Grace,0,IF(337=NPer,P344,IF(Method="Equal principal (reducing payments)",MIN(ROUND(EqPrin,2),P344),MIN(ROUND(Annuity-Q344,2),P344)))),2),0)</f>
        <v>0</v>
      </c>
    </row>
    <row r="345" customFormat="false" ht="15" hidden="false" customHeight="false" outlineLevel="0" collapsed="false">
      <c r="A345" s="38" t="str">
        <f aca="false">IF(AND(N(K344)&gt;0.005,A344&lt;NPer),A344+1,"")</f>
        <v/>
      </c>
      <c r="B345" s="39" t="str">
        <f aca="false">IF(A345="","",EDATE(Disb,A345*MPP))</f>
        <v/>
      </c>
      <c r="C345" s="40" t="str">
        <f aca="false">IF(A345="","",IF(A345&lt;=Grace,"Grace","Repayment"))</f>
        <v/>
      </c>
      <c r="D345" s="41" t="str">
        <f aca="false">IF(A345="","",K344)</f>
        <v/>
      </c>
      <c r="E345" s="41" t="str">
        <f aca="false">IF(AND(A345&lt;&gt;"",D345&gt;0.005),F345+G345,"")</f>
        <v/>
      </c>
      <c r="F345" s="41" t="str">
        <f aca="false">IF(AND(A345&lt;&gt;"",D345&gt;0.005),ROUND(D345*RP,2),"")</f>
        <v/>
      </c>
      <c r="G345" s="41" t="str">
        <f aca="false">IF(AND(A345&lt;&gt;"",D345&gt;0.005),IF(A345&lt;=Grace,0,IF(A345=NPer,D345,IF(Method="Equal principal (reducing payments)",MIN(ROUND(EqPrin,2),D345),MIN(ROUND(Annuity-F345,2),D345)))),"")</f>
        <v/>
      </c>
      <c r="H345" s="41" t="str">
        <f aca="false">IF(AND(A345&lt;&gt;"",D345&gt;0.005),IF(A345&lt;=Grace,0,MIN(Extra,D345-G345)),"")</f>
        <v/>
      </c>
      <c r="I345" s="41" t="str">
        <f aca="false">IF(AND(A345&lt;&gt;"",D345&gt;0.005),MIN(SUMIF(LumpN,A345,LumpAmt),D345-G345-H345),"")</f>
        <v/>
      </c>
      <c r="J345" s="42" t="str">
        <f aca="false">IF(AND(A345&lt;&gt;"",D345&gt;0.005),E345+H345+I345,"")</f>
        <v/>
      </c>
      <c r="K345" s="42" t="str">
        <f aca="false">IF(AND(A345&lt;&gt;"",D345&gt;0.005),ROUND(D345-G345-H345-I345,2),"")</f>
        <v/>
      </c>
      <c r="L345" s="41" t="str">
        <f aca="false">IF(AND(A345&lt;&gt;"",D345&gt;0.005),L344+F345,"")</f>
        <v/>
      </c>
      <c r="M345" s="41" t="str">
        <f aca="false">IF(AND(A345&lt;&gt;"",D345&gt;0.005),M344+G345+H345+I345,"")</f>
        <v/>
      </c>
      <c r="N345" s="43" t="str">
        <f aca="false">IF(B345="","",YEAR(B345))</f>
        <v/>
      </c>
      <c r="O345" s="44" t="n">
        <f aca="false">IF(AND(A345&lt;&gt;"",D345&gt;0.005),J345,0)</f>
        <v>0</v>
      </c>
      <c r="P345" s="44" t="n">
        <f aca="false">R344</f>
        <v>0</v>
      </c>
      <c r="Q345" s="44" t="n">
        <f aca="false">IF(AND(P345&gt;0.005,338&lt;=NPer),ROUND(P345*RP,2),0)</f>
        <v>0</v>
      </c>
      <c r="R345" s="44" t="n">
        <f aca="false">IF(AND(P345&gt;0.005,338&lt;=NPer),ROUND(P345-IF(338&lt;=Grace,0,IF(338=NPer,P345,IF(Method="Equal principal (reducing payments)",MIN(ROUND(EqPrin,2),P345),MIN(ROUND(Annuity-Q345,2),P345)))),2),0)</f>
        <v>0</v>
      </c>
    </row>
    <row r="346" customFormat="false" ht="15" hidden="false" customHeight="false" outlineLevel="0" collapsed="false">
      <c r="A346" s="38" t="str">
        <f aca="false">IF(AND(N(K345)&gt;0.005,A345&lt;NPer),A345+1,"")</f>
        <v/>
      </c>
      <c r="B346" s="39" t="str">
        <f aca="false">IF(A346="","",EDATE(Disb,A346*MPP))</f>
        <v/>
      </c>
      <c r="C346" s="40" t="str">
        <f aca="false">IF(A346="","",IF(A346&lt;=Grace,"Grace","Repayment"))</f>
        <v/>
      </c>
      <c r="D346" s="41" t="str">
        <f aca="false">IF(A346="","",K345)</f>
        <v/>
      </c>
      <c r="E346" s="41" t="str">
        <f aca="false">IF(AND(A346&lt;&gt;"",D346&gt;0.005),F346+G346,"")</f>
        <v/>
      </c>
      <c r="F346" s="41" t="str">
        <f aca="false">IF(AND(A346&lt;&gt;"",D346&gt;0.005),ROUND(D346*RP,2),"")</f>
        <v/>
      </c>
      <c r="G346" s="41" t="str">
        <f aca="false">IF(AND(A346&lt;&gt;"",D346&gt;0.005),IF(A346&lt;=Grace,0,IF(A346=NPer,D346,IF(Method="Equal principal (reducing payments)",MIN(ROUND(EqPrin,2),D346),MIN(ROUND(Annuity-F346,2),D346)))),"")</f>
        <v/>
      </c>
      <c r="H346" s="41" t="str">
        <f aca="false">IF(AND(A346&lt;&gt;"",D346&gt;0.005),IF(A346&lt;=Grace,0,MIN(Extra,D346-G346)),"")</f>
        <v/>
      </c>
      <c r="I346" s="41" t="str">
        <f aca="false">IF(AND(A346&lt;&gt;"",D346&gt;0.005),MIN(SUMIF(LumpN,A346,LumpAmt),D346-G346-H346),"")</f>
        <v/>
      </c>
      <c r="J346" s="42" t="str">
        <f aca="false">IF(AND(A346&lt;&gt;"",D346&gt;0.005),E346+H346+I346,"")</f>
        <v/>
      </c>
      <c r="K346" s="42" t="str">
        <f aca="false">IF(AND(A346&lt;&gt;"",D346&gt;0.005),ROUND(D346-G346-H346-I346,2),"")</f>
        <v/>
      </c>
      <c r="L346" s="41" t="str">
        <f aca="false">IF(AND(A346&lt;&gt;"",D346&gt;0.005),L345+F346,"")</f>
        <v/>
      </c>
      <c r="M346" s="41" t="str">
        <f aca="false">IF(AND(A346&lt;&gt;"",D346&gt;0.005),M345+G346+H346+I346,"")</f>
        <v/>
      </c>
      <c r="N346" s="43" t="str">
        <f aca="false">IF(B346="","",YEAR(B346))</f>
        <v/>
      </c>
      <c r="O346" s="44" t="n">
        <f aca="false">IF(AND(A346&lt;&gt;"",D346&gt;0.005),J346,0)</f>
        <v>0</v>
      </c>
      <c r="P346" s="44" t="n">
        <f aca="false">R345</f>
        <v>0</v>
      </c>
      <c r="Q346" s="44" t="n">
        <f aca="false">IF(AND(P346&gt;0.005,339&lt;=NPer),ROUND(P346*RP,2),0)</f>
        <v>0</v>
      </c>
      <c r="R346" s="44" t="n">
        <f aca="false">IF(AND(P346&gt;0.005,339&lt;=NPer),ROUND(P346-IF(339&lt;=Grace,0,IF(339=NPer,P346,IF(Method="Equal principal (reducing payments)",MIN(ROUND(EqPrin,2),P346),MIN(ROUND(Annuity-Q346,2),P346)))),2),0)</f>
        <v>0</v>
      </c>
    </row>
    <row r="347" customFormat="false" ht="15" hidden="false" customHeight="false" outlineLevel="0" collapsed="false">
      <c r="A347" s="38" t="str">
        <f aca="false">IF(AND(N(K346)&gt;0.005,A346&lt;NPer),A346+1,"")</f>
        <v/>
      </c>
      <c r="B347" s="39" t="str">
        <f aca="false">IF(A347="","",EDATE(Disb,A347*MPP))</f>
        <v/>
      </c>
      <c r="C347" s="40" t="str">
        <f aca="false">IF(A347="","",IF(A347&lt;=Grace,"Grace","Repayment"))</f>
        <v/>
      </c>
      <c r="D347" s="41" t="str">
        <f aca="false">IF(A347="","",K346)</f>
        <v/>
      </c>
      <c r="E347" s="41" t="str">
        <f aca="false">IF(AND(A347&lt;&gt;"",D347&gt;0.005),F347+G347,"")</f>
        <v/>
      </c>
      <c r="F347" s="41" t="str">
        <f aca="false">IF(AND(A347&lt;&gt;"",D347&gt;0.005),ROUND(D347*RP,2),"")</f>
        <v/>
      </c>
      <c r="G347" s="41" t="str">
        <f aca="false">IF(AND(A347&lt;&gt;"",D347&gt;0.005),IF(A347&lt;=Grace,0,IF(A347=NPer,D347,IF(Method="Equal principal (reducing payments)",MIN(ROUND(EqPrin,2),D347),MIN(ROUND(Annuity-F347,2),D347)))),"")</f>
        <v/>
      </c>
      <c r="H347" s="41" t="str">
        <f aca="false">IF(AND(A347&lt;&gt;"",D347&gt;0.005),IF(A347&lt;=Grace,0,MIN(Extra,D347-G347)),"")</f>
        <v/>
      </c>
      <c r="I347" s="41" t="str">
        <f aca="false">IF(AND(A347&lt;&gt;"",D347&gt;0.005),MIN(SUMIF(LumpN,A347,LumpAmt),D347-G347-H347),"")</f>
        <v/>
      </c>
      <c r="J347" s="42" t="str">
        <f aca="false">IF(AND(A347&lt;&gt;"",D347&gt;0.005),E347+H347+I347,"")</f>
        <v/>
      </c>
      <c r="K347" s="42" t="str">
        <f aca="false">IF(AND(A347&lt;&gt;"",D347&gt;0.005),ROUND(D347-G347-H347-I347,2),"")</f>
        <v/>
      </c>
      <c r="L347" s="41" t="str">
        <f aca="false">IF(AND(A347&lt;&gt;"",D347&gt;0.005),L346+F347,"")</f>
        <v/>
      </c>
      <c r="M347" s="41" t="str">
        <f aca="false">IF(AND(A347&lt;&gt;"",D347&gt;0.005),M346+G347+H347+I347,"")</f>
        <v/>
      </c>
      <c r="N347" s="43" t="str">
        <f aca="false">IF(B347="","",YEAR(B347))</f>
        <v/>
      </c>
      <c r="O347" s="44" t="n">
        <f aca="false">IF(AND(A347&lt;&gt;"",D347&gt;0.005),J347,0)</f>
        <v>0</v>
      </c>
      <c r="P347" s="44" t="n">
        <f aca="false">R346</f>
        <v>0</v>
      </c>
      <c r="Q347" s="44" t="n">
        <f aca="false">IF(AND(P347&gt;0.005,340&lt;=NPer),ROUND(P347*RP,2),0)</f>
        <v>0</v>
      </c>
      <c r="R347" s="44" t="n">
        <f aca="false">IF(AND(P347&gt;0.005,340&lt;=NPer),ROUND(P347-IF(340&lt;=Grace,0,IF(340=NPer,P347,IF(Method="Equal principal (reducing payments)",MIN(ROUND(EqPrin,2),P347),MIN(ROUND(Annuity-Q347,2),P347)))),2),0)</f>
        <v>0</v>
      </c>
    </row>
    <row r="348" customFormat="false" ht="15" hidden="false" customHeight="false" outlineLevel="0" collapsed="false">
      <c r="A348" s="38" t="str">
        <f aca="false">IF(AND(N(K347)&gt;0.005,A347&lt;NPer),A347+1,"")</f>
        <v/>
      </c>
      <c r="B348" s="39" t="str">
        <f aca="false">IF(A348="","",EDATE(Disb,A348*MPP))</f>
        <v/>
      </c>
      <c r="C348" s="40" t="str">
        <f aca="false">IF(A348="","",IF(A348&lt;=Grace,"Grace","Repayment"))</f>
        <v/>
      </c>
      <c r="D348" s="41" t="str">
        <f aca="false">IF(A348="","",K347)</f>
        <v/>
      </c>
      <c r="E348" s="41" t="str">
        <f aca="false">IF(AND(A348&lt;&gt;"",D348&gt;0.005),F348+G348,"")</f>
        <v/>
      </c>
      <c r="F348" s="41" t="str">
        <f aca="false">IF(AND(A348&lt;&gt;"",D348&gt;0.005),ROUND(D348*RP,2),"")</f>
        <v/>
      </c>
      <c r="G348" s="41" t="str">
        <f aca="false">IF(AND(A348&lt;&gt;"",D348&gt;0.005),IF(A348&lt;=Grace,0,IF(A348=NPer,D348,IF(Method="Equal principal (reducing payments)",MIN(ROUND(EqPrin,2),D348),MIN(ROUND(Annuity-F348,2),D348)))),"")</f>
        <v/>
      </c>
      <c r="H348" s="41" t="str">
        <f aca="false">IF(AND(A348&lt;&gt;"",D348&gt;0.005),IF(A348&lt;=Grace,0,MIN(Extra,D348-G348)),"")</f>
        <v/>
      </c>
      <c r="I348" s="41" t="str">
        <f aca="false">IF(AND(A348&lt;&gt;"",D348&gt;0.005),MIN(SUMIF(LumpN,A348,LumpAmt),D348-G348-H348),"")</f>
        <v/>
      </c>
      <c r="J348" s="42" t="str">
        <f aca="false">IF(AND(A348&lt;&gt;"",D348&gt;0.005),E348+H348+I348,"")</f>
        <v/>
      </c>
      <c r="K348" s="42" t="str">
        <f aca="false">IF(AND(A348&lt;&gt;"",D348&gt;0.005),ROUND(D348-G348-H348-I348,2),"")</f>
        <v/>
      </c>
      <c r="L348" s="41" t="str">
        <f aca="false">IF(AND(A348&lt;&gt;"",D348&gt;0.005),L347+F348,"")</f>
        <v/>
      </c>
      <c r="M348" s="41" t="str">
        <f aca="false">IF(AND(A348&lt;&gt;"",D348&gt;0.005),M347+G348+H348+I348,"")</f>
        <v/>
      </c>
      <c r="N348" s="43" t="str">
        <f aca="false">IF(B348="","",YEAR(B348))</f>
        <v/>
      </c>
      <c r="O348" s="44" t="n">
        <f aca="false">IF(AND(A348&lt;&gt;"",D348&gt;0.005),J348,0)</f>
        <v>0</v>
      </c>
      <c r="P348" s="44" t="n">
        <f aca="false">R347</f>
        <v>0</v>
      </c>
      <c r="Q348" s="44" t="n">
        <f aca="false">IF(AND(P348&gt;0.005,341&lt;=NPer),ROUND(P348*RP,2),0)</f>
        <v>0</v>
      </c>
      <c r="R348" s="44" t="n">
        <f aca="false">IF(AND(P348&gt;0.005,341&lt;=NPer),ROUND(P348-IF(341&lt;=Grace,0,IF(341=NPer,P348,IF(Method="Equal principal (reducing payments)",MIN(ROUND(EqPrin,2),P348),MIN(ROUND(Annuity-Q348,2),P348)))),2),0)</f>
        <v>0</v>
      </c>
    </row>
    <row r="349" customFormat="false" ht="15" hidden="false" customHeight="false" outlineLevel="0" collapsed="false">
      <c r="A349" s="38" t="str">
        <f aca="false">IF(AND(N(K348)&gt;0.005,A348&lt;NPer),A348+1,"")</f>
        <v/>
      </c>
      <c r="B349" s="39" t="str">
        <f aca="false">IF(A349="","",EDATE(Disb,A349*MPP))</f>
        <v/>
      </c>
      <c r="C349" s="40" t="str">
        <f aca="false">IF(A349="","",IF(A349&lt;=Grace,"Grace","Repayment"))</f>
        <v/>
      </c>
      <c r="D349" s="41" t="str">
        <f aca="false">IF(A349="","",K348)</f>
        <v/>
      </c>
      <c r="E349" s="41" t="str">
        <f aca="false">IF(AND(A349&lt;&gt;"",D349&gt;0.005),F349+G349,"")</f>
        <v/>
      </c>
      <c r="F349" s="41" t="str">
        <f aca="false">IF(AND(A349&lt;&gt;"",D349&gt;0.005),ROUND(D349*RP,2),"")</f>
        <v/>
      </c>
      <c r="G349" s="41" t="str">
        <f aca="false">IF(AND(A349&lt;&gt;"",D349&gt;0.005),IF(A349&lt;=Grace,0,IF(A349=NPer,D349,IF(Method="Equal principal (reducing payments)",MIN(ROUND(EqPrin,2),D349),MIN(ROUND(Annuity-F349,2),D349)))),"")</f>
        <v/>
      </c>
      <c r="H349" s="41" t="str">
        <f aca="false">IF(AND(A349&lt;&gt;"",D349&gt;0.005),IF(A349&lt;=Grace,0,MIN(Extra,D349-G349)),"")</f>
        <v/>
      </c>
      <c r="I349" s="41" t="str">
        <f aca="false">IF(AND(A349&lt;&gt;"",D349&gt;0.005),MIN(SUMIF(LumpN,A349,LumpAmt),D349-G349-H349),"")</f>
        <v/>
      </c>
      <c r="J349" s="42" t="str">
        <f aca="false">IF(AND(A349&lt;&gt;"",D349&gt;0.005),E349+H349+I349,"")</f>
        <v/>
      </c>
      <c r="K349" s="42" t="str">
        <f aca="false">IF(AND(A349&lt;&gt;"",D349&gt;0.005),ROUND(D349-G349-H349-I349,2),"")</f>
        <v/>
      </c>
      <c r="L349" s="41" t="str">
        <f aca="false">IF(AND(A349&lt;&gt;"",D349&gt;0.005),L348+F349,"")</f>
        <v/>
      </c>
      <c r="M349" s="41" t="str">
        <f aca="false">IF(AND(A349&lt;&gt;"",D349&gt;0.005),M348+G349+H349+I349,"")</f>
        <v/>
      </c>
      <c r="N349" s="43" t="str">
        <f aca="false">IF(B349="","",YEAR(B349))</f>
        <v/>
      </c>
      <c r="O349" s="44" t="n">
        <f aca="false">IF(AND(A349&lt;&gt;"",D349&gt;0.005),J349,0)</f>
        <v>0</v>
      </c>
      <c r="P349" s="44" t="n">
        <f aca="false">R348</f>
        <v>0</v>
      </c>
      <c r="Q349" s="44" t="n">
        <f aca="false">IF(AND(P349&gt;0.005,342&lt;=NPer),ROUND(P349*RP,2),0)</f>
        <v>0</v>
      </c>
      <c r="R349" s="44" t="n">
        <f aca="false">IF(AND(P349&gt;0.005,342&lt;=NPer),ROUND(P349-IF(342&lt;=Grace,0,IF(342=NPer,P349,IF(Method="Equal principal (reducing payments)",MIN(ROUND(EqPrin,2),P349),MIN(ROUND(Annuity-Q349,2),P349)))),2),0)</f>
        <v>0</v>
      </c>
    </row>
    <row r="350" customFormat="false" ht="15" hidden="false" customHeight="false" outlineLevel="0" collapsed="false">
      <c r="A350" s="38" t="str">
        <f aca="false">IF(AND(N(K349)&gt;0.005,A349&lt;NPer),A349+1,"")</f>
        <v/>
      </c>
      <c r="B350" s="39" t="str">
        <f aca="false">IF(A350="","",EDATE(Disb,A350*MPP))</f>
        <v/>
      </c>
      <c r="C350" s="40" t="str">
        <f aca="false">IF(A350="","",IF(A350&lt;=Grace,"Grace","Repayment"))</f>
        <v/>
      </c>
      <c r="D350" s="41" t="str">
        <f aca="false">IF(A350="","",K349)</f>
        <v/>
      </c>
      <c r="E350" s="41" t="str">
        <f aca="false">IF(AND(A350&lt;&gt;"",D350&gt;0.005),F350+G350,"")</f>
        <v/>
      </c>
      <c r="F350" s="41" t="str">
        <f aca="false">IF(AND(A350&lt;&gt;"",D350&gt;0.005),ROUND(D350*RP,2),"")</f>
        <v/>
      </c>
      <c r="G350" s="41" t="str">
        <f aca="false">IF(AND(A350&lt;&gt;"",D350&gt;0.005),IF(A350&lt;=Grace,0,IF(A350=NPer,D350,IF(Method="Equal principal (reducing payments)",MIN(ROUND(EqPrin,2),D350),MIN(ROUND(Annuity-F350,2),D350)))),"")</f>
        <v/>
      </c>
      <c r="H350" s="41" t="str">
        <f aca="false">IF(AND(A350&lt;&gt;"",D350&gt;0.005),IF(A350&lt;=Grace,0,MIN(Extra,D350-G350)),"")</f>
        <v/>
      </c>
      <c r="I350" s="41" t="str">
        <f aca="false">IF(AND(A350&lt;&gt;"",D350&gt;0.005),MIN(SUMIF(LumpN,A350,LumpAmt),D350-G350-H350),"")</f>
        <v/>
      </c>
      <c r="J350" s="42" t="str">
        <f aca="false">IF(AND(A350&lt;&gt;"",D350&gt;0.005),E350+H350+I350,"")</f>
        <v/>
      </c>
      <c r="K350" s="42" t="str">
        <f aca="false">IF(AND(A350&lt;&gt;"",D350&gt;0.005),ROUND(D350-G350-H350-I350,2),"")</f>
        <v/>
      </c>
      <c r="L350" s="41" t="str">
        <f aca="false">IF(AND(A350&lt;&gt;"",D350&gt;0.005),L349+F350,"")</f>
        <v/>
      </c>
      <c r="M350" s="41" t="str">
        <f aca="false">IF(AND(A350&lt;&gt;"",D350&gt;0.005),M349+G350+H350+I350,"")</f>
        <v/>
      </c>
      <c r="N350" s="43" t="str">
        <f aca="false">IF(B350="","",YEAR(B350))</f>
        <v/>
      </c>
      <c r="O350" s="44" t="n">
        <f aca="false">IF(AND(A350&lt;&gt;"",D350&gt;0.005),J350,0)</f>
        <v>0</v>
      </c>
      <c r="P350" s="44" t="n">
        <f aca="false">R349</f>
        <v>0</v>
      </c>
      <c r="Q350" s="44" t="n">
        <f aca="false">IF(AND(P350&gt;0.005,343&lt;=NPer),ROUND(P350*RP,2),0)</f>
        <v>0</v>
      </c>
      <c r="R350" s="44" t="n">
        <f aca="false">IF(AND(P350&gt;0.005,343&lt;=NPer),ROUND(P350-IF(343&lt;=Grace,0,IF(343=NPer,P350,IF(Method="Equal principal (reducing payments)",MIN(ROUND(EqPrin,2),P350),MIN(ROUND(Annuity-Q350,2),P350)))),2),0)</f>
        <v>0</v>
      </c>
    </row>
    <row r="351" customFormat="false" ht="15" hidden="false" customHeight="false" outlineLevel="0" collapsed="false">
      <c r="A351" s="38" t="str">
        <f aca="false">IF(AND(N(K350)&gt;0.005,A350&lt;NPer),A350+1,"")</f>
        <v/>
      </c>
      <c r="B351" s="39" t="str">
        <f aca="false">IF(A351="","",EDATE(Disb,A351*MPP))</f>
        <v/>
      </c>
      <c r="C351" s="40" t="str">
        <f aca="false">IF(A351="","",IF(A351&lt;=Grace,"Grace","Repayment"))</f>
        <v/>
      </c>
      <c r="D351" s="41" t="str">
        <f aca="false">IF(A351="","",K350)</f>
        <v/>
      </c>
      <c r="E351" s="41" t="str">
        <f aca="false">IF(AND(A351&lt;&gt;"",D351&gt;0.005),F351+G351,"")</f>
        <v/>
      </c>
      <c r="F351" s="41" t="str">
        <f aca="false">IF(AND(A351&lt;&gt;"",D351&gt;0.005),ROUND(D351*RP,2),"")</f>
        <v/>
      </c>
      <c r="G351" s="41" t="str">
        <f aca="false">IF(AND(A351&lt;&gt;"",D351&gt;0.005),IF(A351&lt;=Grace,0,IF(A351=NPer,D351,IF(Method="Equal principal (reducing payments)",MIN(ROUND(EqPrin,2),D351),MIN(ROUND(Annuity-F351,2),D351)))),"")</f>
        <v/>
      </c>
      <c r="H351" s="41" t="str">
        <f aca="false">IF(AND(A351&lt;&gt;"",D351&gt;0.005),IF(A351&lt;=Grace,0,MIN(Extra,D351-G351)),"")</f>
        <v/>
      </c>
      <c r="I351" s="41" t="str">
        <f aca="false">IF(AND(A351&lt;&gt;"",D351&gt;0.005),MIN(SUMIF(LumpN,A351,LumpAmt),D351-G351-H351),"")</f>
        <v/>
      </c>
      <c r="J351" s="42" t="str">
        <f aca="false">IF(AND(A351&lt;&gt;"",D351&gt;0.005),E351+H351+I351,"")</f>
        <v/>
      </c>
      <c r="K351" s="42" t="str">
        <f aca="false">IF(AND(A351&lt;&gt;"",D351&gt;0.005),ROUND(D351-G351-H351-I351,2),"")</f>
        <v/>
      </c>
      <c r="L351" s="41" t="str">
        <f aca="false">IF(AND(A351&lt;&gt;"",D351&gt;0.005),L350+F351,"")</f>
        <v/>
      </c>
      <c r="M351" s="41" t="str">
        <f aca="false">IF(AND(A351&lt;&gt;"",D351&gt;0.005),M350+G351+H351+I351,"")</f>
        <v/>
      </c>
      <c r="N351" s="43" t="str">
        <f aca="false">IF(B351="","",YEAR(B351))</f>
        <v/>
      </c>
      <c r="O351" s="44" t="n">
        <f aca="false">IF(AND(A351&lt;&gt;"",D351&gt;0.005),J351,0)</f>
        <v>0</v>
      </c>
      <c r="P351" s="44" t="n">
        <f aca="false">R350</f>
        <v>0</v>
      </c>
      <c r="Q351" s="44" t="n">
        <f aca="false">IF(AND(P351&gt;0.005,344&lt;=NPer),ROUND(P351*RP,2),0)</f>
        <v>0</v>
      </c>
      <c r="R351" s="44" t="n">
        <f aca="false">IF(AND(P351&gt;0.005,344&lt;=NPer),ROUND(P351-IF(344&lt;=Grace,0,IF(344=NPer,P351,IF(Method="Equal principal (reducing payments)",MIN(ROUND(EqPrin,2),P351),MIN(ROUND(Annuity-Q351,2),P351)))),2),0)</f>
        <v>0</v>
      </c>
    </row>
    <row r="352" customFormat="false" ht="15" hidden="false" customHeight="false" outlineLevel="0" collapsed="false">
      <c r="A352" s="38" t="str">
        <f aca="false">IF(AND(N(K351)&gt;0.005,A351&lt;NPer),A351+1,"")</f>
        <v/>
      </c>
      <c r="B352" s="39" t="str">
        <f aca="false">IF(A352="","",EDATE(Disb,A352*MPP))</f>
        <v/>
      </c>
      <c r="C352" s="40" t="str">
        <f aca="false">IF(A352="","",IF(A352&lt;=Grace,"Grace","Repayment"))</f>
        <v/>
      </c>
      <c r="D352" s="41" t="str">
        <f aca="false">IF(A352="","",K351)</f>
        <v/>
      </c>
      <c r="E352" s="41" t="str">
        <f aca="false">IF(AND(A352&lt;&gt;"",D352&gt;0.005),F352+G352,"")</f>
        <v/>
      </c>
      <c r="F352" s="41" t="str">
        <f aca="false">IF(AND(A352&lt;&gt;"",D352&gt;0.005),ROUND(D352*RP,2),"")</f>
        <v/>
      </c>
      <c r="G352" s="41" t="str">
        <f aca="false">IF(AND(A352&lt;&gt;"",D352&gt;0.005),IF(A352&lt;=Grace,0,IF(A352=NPer,D352,IF(Method="Equal principal (reducing payments)",MIN(ROUND(EqPrin,2),D352),MIN(ROUND(Annuity-F352,2),D352)))),"")</f>
        <v/>
      </c>
      <c r="H352" s="41" t="str">
        <f aca="false">IF(AND(A352&lt;&gt;"",D352&gt;0.005),IF(A352&lt;=Grace,0,MIN(Extra,D352-G352)),"")</f>
        <v/>
      </c>
      <c r="I352" s="41" t="str">
        <f aca="false">IF(AND(A352&lt;&gt;"",D352&gt;0.005),MIN(SUMIF(LumpN,A352,LumpAmt),D352-G352-H352),"")</f>
        <v/>
      </c>
      <c r="J352" s="42" t="str">
        <f aca="false">IF(AND(A352&lt;&gt;"",D352&gt;0.005),E352+H352+I352,"")</f>
        <v/>
      </c>
      <c r="K352" s="42" t="str">
        <f aca="false">IF(AND(A352&lt;&gt;"",D352&gt;0.005),ROUND(D352-G352-H352-I352,2),"")</f>
        <v/>
      </c>
      <c r="L352" s="41" t="str">
        <f aca="false">IF(AND(A352&lt;&gt;"",D352&gt;0.005),L351+F352,"")</f>
        <v/>
      </c>
      <c r="M352" s="41" t="str">
        <f aca="false">IF(AND(A352&lt;&gt;"",D352&gt;0.005),M351+G352+H352+I352,"")</f>
        <v/>
      </c>
      <c r="N352" s="43" t="str">
        <f aca="false">IF(B352="","",YEAR(B352))</f>
        <v/>
      </c>
      <c r="O352" s="44" t="n">
        <f aca="false">IF(AND(A352&lt;&gt;"",D352&gt;0.005),J352,0)</f>
        <v>0</v>
      </c>
      <c r="P352" s="44" t="n">
        <f aca="false">R351</f>
        <v>0</v>
      </c>
      <c r="Q352" s="44" t="n">
        <f aca="false">IF(AND(P352&gt;0.005,345&lt;=NPer),ROUND(P352*RP,2),0)</f>
        <v>0</v>
      </c>
      <c r="R352" s="44" t="n">
        <f aca="false">IF(AND(P352&gt;0.005,345&lt;=NPer),ROUND(P352-IF(345&lt;=Grace,0,IF(345=NPer,P352,IF(Method="Equal principal (reducing payments)",MIN(ROUND(EqPrin,2),P352),MIN(ROUND(Annuity-Q352,2),P352)))),2),0)</f>
        <v>0</v>
      </c>
    </row>
    <row r="353" customFormat="false" ht="15" hidden="false" customHeight="false" outlineLevel="0" collapsed="false">
      <c r="A353" s="38" t="str">
        <f aca="false">IF(AND(N(K352)&gt;0.005,A352&lt;NPer),A352+1,"")</f>
        <v/>
      </c>
      <c r="B353" s="39" t="str">
        <f aca="false">IF(A353="","",EDATE(Disb,A353*MPP))</f>
        <v/>
      </c>
      <c r="C353" s="40" t="str">
        <f aca="false">IF(A353="","",IF(A353&lt;=Grace,"Grace","Repayment"))</f>
        <v/>
      </c>
      <c r="D353" s="41" t="str">
        <f aca="false">IF(A353="","",K352)</f>
        <v/>
      </c>
      <c r="E353" s="41" t="str">
        <f aca="false">IF(AND(A353&lt;&gt;"",D353&gt;0.005),F353+G353,"")</f>
        <v/>
      </c>
      <c r="F353" s="41" t="str">
        <f aca="false">IF(AND(A353&lt;&gt;"",D353&gt;0.005),ROUND(D353*RP,2),"")</f>
        <v/>
      </c>
      <c r="G353" s="41" t="str">
        <f aca="false">IF(AND(A353&lt;&gt;"",D353&gt;0.005),IF(A353&lt;=Grace,0,IF(A353=NPer,D353,IF(Method="Equal principal (reducing payments)",MIN(ROUND(EqPrin,2),D353),MIN(ROUND(Annuity-F353,2),D353)))),"")</f>
        <v/>
      </c>
      <c r="H353" s="41" t="str">
        <f aca="false">IF(AND(A353&lt;&gt;"",D353&gt;0.005),IF(A353&lt;=Grace,0,MIN(Extra,D353-G353)),"")</f>
        <v/>
      </c>
      <c r="I353" s="41" t="str">
        <f aca="false">IF(AND(A353&lt;&gt;"",D353&gt;0.005),MIN(SUMIF(LumpN,A353,LumpAmt),D353-G353-H353),"")</f>
        <v/>
      </c>
      <c r="J353" s="42" t="str">
        <f aca="false">IF(AND(A353&lt;&gt;"",D353&gt;0.005),E353+H353+I353,"")</f>
        <v/>
      </c>
      <c r="K353" s="42" t="str">
        <f aca="false">IF(AND(A353&lt;&gt;"",D353&gt;0.005),ROUND(D353-G353-H353-I353,2),"")</f>
        <v/>
      </c>
      <c r="L353" s="41" t="str">
        <f aca="false">IF(AND(A353&lt;&gt;"",D353&gt;0.005),L352+F353,"")</f>
        <v/>
      </c>
      <c r="M353" s="41" t="str">
        <f aca="false">IF(AND(A353&lt;&gt;"",D353&gt;0.005),M352+G353+H353+I353,"")</f>
        <v/>
      </c>
      <c r="N353" s="43" t="str">
        <f aca="false">IF(B353="","",YEAR(B353))</f>
        <v/>
      </c>
      <c r="O353" s="44" t="n">
        <f aca="false">IF(AND(A353&lt;&gt;"",D353&gt;0.005),J353,0)</f>
        <v>0</v>
      </c>
      <c r="P353" s="44" t="n">
        <f aca="false">R352</f>
        <v>0</v>
      </c>
      <c r="Q353" s="44" t="n">
        <f aca="false">IF(AND(P353&gt;0.005,346&lt;=NPer),ROUND(P353*RP,2),0)</f>
        <v>0</v>
      </c>
      <c r="R353" s="44" t="n">
        <f aca="false">IF(AND(P353&gt;0.005,346&lt;=NPer),ROUND(P353-IF(346&lt;=Grace,0,IF(346=NPer,P353,IF(Method="Equal principal (reducing payments)",MIN(ROUND(EqPrin,2),P353),MIN(ROUND(Annuity-Q353,2),P353)))),2),0)</f>
        <v>0</v>
      </c>
    </row>
    <row r="354" customFormat="false" ht="15" hidden="false" customHeight="false" outlineLevel="0" collapsed="false">
      <c r="A354" s="38" t="str">
        <f aca="false">IF(AND(N(K353)&gt;0.005,A353&lt;NPer),A353+1,"")</f>
        <v/>
      </c>
      <c r="B354" s="39" t="str">
        <f aca="false">IF(A354="","",EDATE(Disb,A354*MPP))</f>
        <v/>
      </c>
      <c r="C354" s="40" t="str">
        <f aca="false">IF(A354="","",IF(A354&lt;=Grace,"Grace","Repayment"))</f>
        <v/>
      </c>
      <c r="D354" s="41" t="str">
        <f aca="false">IF(A354="","",K353)</f>
        <v/>
      </c>
      <c r="E354" s="41" t="str">
        <f aca="false">IF(AND(A354&lt;&gt;"",D354&gt;0.005),F354+G354,"")</f>
        <v/>
      </c>
      <c r="F354" s="41" t="str">
        <f aca="false">IF(AND(A354&lt;&gt;"",D354&gt;0.005),ROUND(D354*RP,2),"")</f>
        <v/>
      </c>
      <c r="G354" s="41" t="str">
        <f aca="false">IF(AND(A354&lt;&gt;"",D354&gt;0.005),IF(A354&lt;=Grace,0,IF(A354=NPer,D354,IF(Method="Equal principal (reducing payments)",MIN(ROUND(EqPrin,2),D354),MIN(ROUND(Annuity-F354,2),D354)))),"")</f>
        <v/>
      </c>
      <c r="H354" s="41" t="str">
        <f aca="false">IF(AND(A354&lt;&gt;"",D354&gt;0.005),IF(A354&lt;=Grace,0,MIN(Extra,D354-G354)),"")</f>
        <v/>
      </c>
      <c r="I354" s="41" t="str">
        <f aca="false">IF(AND(A354&lt;&gt;"",D354&gt;0.005),MIN(SUMIF(LumpN,A354,LumpAmt),D354-G354-H354),"")</f>
        <v/>
      </c>
      <c r="J354" s="42" t="str">
        <f aca="false">IF(AND(A354&lt;&gt;"",D354&gt;0.005),E354+H354+I354,"")</f>
        <v/>
      </c>
      <c r="K354" s="42" t="str">
        <f aca="false">IF(AND(A354&lt;&gt;"",D354&gt;0.005),ROUND(D354-G354-H354-I354,2),"")</f>
        <v/>
      </c>
      <c r="L354" s="41" t="str">
        <f aca="false">IF(AND(A354&lt;&gt;"",D354&gt;0.005),L353+F354,"")</f>
        <v/>
      </c>
      <c r="M354" s="41" t="str">
        <f aca="false">IF(AND(A354&lt;&gt;"",D354&gt;0.005),M353+G354+H354+I354,"")</f>
        <v/>
      </c>
      <c r="N354" s="43" t="str">
        <f aca="false">IF(B354="","",YEAR(B354))</f>
        <v/>
      </c>
      <c r="O354" s="44" t="n">
        <f aca="false">IF(AND(A354&lt;&gt;"",D354&gt;0.005),J354,0)</f>
        <v>0</v>
      </c>
      <c r="P354" s="44" t="n">
        <f aca="false">R353</f>
        <v>0</v>
      </c>
      <c r="Q354" s="44" t="n">
        <f aca="false">IF(AND(P354&gt;0.005,347&lt;=NPer),ROUND(P354*RP,2),0)</f>
        <v>0</v>
      </c>
      <c r="R354" s="44" t="n">
        <f aca="false">IF(AND(P354&gt;0.005,347&lt;=NPer),ROUND(P354-IF(347&lt;=Grace,0,IF(347=NPer,P354,IF(Method="Equal principal (reducing payments)",MIN(ROUND(EqPrin,2),P354),MIN(ROUND(Annuity-Q354,2),P354)))),2),0)</f>
        <v>0</v>
      </c>
    </row>
    <row r="355" customFormat="false" ht="15" hidden="false" customHeight="false" outlineLevel="0" collapsed="false">
      <c r="A355" s="38" t="str">
        <f aca="false">IF(AND(N(K354)&gt;0.005,A354&lt;NPer),A354+1,"")</f>
        <v/>
      </c>
      <c r="B355" s="39" t="str">
        <f aca="false">IF(A355="","",EDATE(Disb,A355*MPP))</f>
        <v/>
      </c>
      <c r="C355" s="40" t="str">
        <f aca="false">IF(A355="","",IF(A355&lt;=Grace,"Grace","Repayment"))</f>
        <v/>
      </c>
      <c r="D355" s="41" t="str">
        <f aca="false">IF(A355="","",K354)</f>
        <v/>
      </c>
      <c r="E355" s="41" t="str">
        <f aca="false">IF(AND(A355&lt;&gt;"",D355&gt;0.005),F355+G355,"")</f>
        <v/>
      </c>
      <c r="F355" s="41" t="str">
        <f aca="false">IF(AND(A355&lt;&gt;"",D355&gt;0.005),ROUND(D355*RP,2),"")</f>
        <v/>
      </c>
      <c r="G355" s="41" t="str">
        <f aca="false">IF(AND(A355&lt;&gt;"",D355&gt;0.005),IF(A355&lt;=Grace,0,IF(A355=NPer,D355,IF(Method="Equal principal (reducing payments)",MIN(ROUND(EqPrin,2),D355),MIN(ROUND(Annuity-F355,2),D355)))),"")</f>
        <v/>
      </c>
      <c r="H355" s="41" t="str">
        <f aca="false">IF(AND(A355&lt;&gt;"",D355&gt;0.005),IF(A355&lt;=Grace,0,MIN(Extra,D355-G355)),"")</f>
        <v/>
      </c>
      <c r="I355" s="41" t="str">
        <f aca="false">IF(AND(A355&lt;&gt;"",D355&gt;0.005),MIN(SUMIF(LumpN,A355,LumpAmt),D355-G355-H355),"")</f>
        <v/>
      </c>
      <c r="J355" s="42" t="str">
        <f aca="false">IF(AND(A355&lt;&gt;"",D355&gt;0.005),E355+H355+I355,"")</f>
        <v/>
      </c>
      <c r="K355" s="42" t="str">
        <f aca="false">IF(AND(A355&lt;&gt;"",D355&gt;0.005),ROUND(D355-G355-H355-I355,2),"")</f>
        <v/>
      </c>
      <c r="L355" s="41" t="str">
        <f aca="false">IF(AND(A355&lt;&gt;"",D355&gt;0.005),L354+F355,"")</f>
        <v/>
      </c>
      <c r="M355" s="41" t="str">
        <f aca="false">IF(AND(A355&lt;&gt;"",D355&gt;0.005),M354+G355+H355+I355,"")</f>
        <v/>
      </c>
      <c r="N355" s="43" t="str">
        <f aca="false">IF(B355="","",YEAR(B355))</f>
        <v/>
      </c>
      <c r="O355" s="44" t="n">
        <f aca="false">IF(AND(A355&lt;&gt;"",D355&gt;0.005),J355,0)</f>
        <v>0</v>
      </c>
      <c r="P355" s="44" t="n">
        <f aca="false">R354</f>
        <v>0</v>
      </c>
      <c r="Q355" s="44" t="n">
        <f aca="false">IF(AND(P355&gt;0.005,348&lt;=NPer),ROUND(P355*RP,2),0)</f>
        <v>0</v>
      </c>
      <c r="R355" s="44" t="n">
        <f aca="false">IF(AND(P355&gt;0.005,348&lt;=NPer),ROUND(P355-IF(348&lt;=Grace,0,IF(348=NPer,P355,IF(Method="Equal principal (reducing payments)",MIN(ROUND(EqPrin,2),P355),MIN(ROUND(Annuity-Q355,2),P355)))),2),0)</f>
        <v>0</v>
      </c>
    </row>
    <row r="356" customFormat="false" ht="15" hidden="false" customHeight="false" outlineLevel="0" collapsed="false">
      <c r="A356" s="38" t="str">
        <f aca="false">IF(AND(N(K355)&gt;0.005,A355&lt;NPer),A355+1,"")</f>
        <v/>
      </c>
      <c r="B356" s="39" t="str">
        <f aca="false">IF(A356="","",EDATE(Disb,A356*MPP))</f>
        <v/>
      </c>
      <c r="C356" s="40" t="str">
        <f aca="false">IF(A356="","",IF(A356&lt;=Grace,"Grace","Repayment"))</f>
        <v/>
      </c>
      <c r="D356" s="41" t="str">
        <f aca="false">IF(A356="","",K355)</f>
        <v/>
      </c>
      <c r="E356" s="41" t="str">
        <f aca="false">IF(AND(A356&lt;&gt;"",D356&gt;0.005),F356+G356,"")</f>
        <v/>
      </c>
      <c r="F356" s="41" t="str">
        <f aca="false">IF(AND(A356&lt;&gt;"",D356&gt;0.005),ROUND(D356*RP,2),"")</f>
        <v/>
      </c>
      <c r="G356" s="41" t="str">
        <f aca="false">IF(AND(A356&lt;&gt;"",D356&gt;0.005),IF(A356&lt;=Grace,0,IF(A356=NPer,D356,IF(Method="Equal principal (reducing payments)",MIN(ROUND(EqPrin,2),D356),MIN(ROUND(Annuity-F356,2),D356)))),"")</f>
        <v/>
      </c>
      <c r="H356" s="41" t="str">
        <f aca="false">IF(AND(A356&lt;&gt;"",D356&gt;0.005),IF(A356&lt;=Grace,0,MIN(Extra,D356-G356)),"")</f>
        <v/>
      </c>
      <c r="I356" s="41" t="str">
        <f aca="false">IF(AND(A356&lt;&gt;"",D356&gt;0.005),MIN(SUMIF(LumpN,A356,LumpAmt),D356-G356-H356),"")</f>
        <v/>
      </c>
      <c r="J356" s="42" t="str">
        <f aca="false">IF(AND(A356&lt;&gt;"",D356&gt;0.005),E356+H356+I356,"")</f>
        <v/>
      </c>
      <c r="K356" s="42" t="str">
        <f aca="false">IF(AND(A356&lt;&gt;"",D356&gt;0.005),ROUND(D356-G356-H356-I356,2),"")</f>
        <v/>
      </c>
      <c r="L356" s="41" t="str">
        <f aca="false">IF(AND(A356&lt;&gt;"",D356&gt;0.005),L355+F356,"")</f>
        <v/>
      </c>
      <c r="M356" s="41" t="str">
        <f aca="false">IF(AND(A356&lt;&gt;"",D356&gt;0.005),M355+G356+H356+I356,"")</f>
        <v/>
      </c>
      <c r="N356" s="43" t="str">
        <f aca="false">IF(B356="","",YEAR(B356))</f>
        <v/>
      </c>
      <c r="O356" s="44" t="n">
        <f aca="false">IF(AND(A356&lt;&gt;"",D356&gt;0.005),J356,0)</f>
        <v>0</v>
      </c>
      <c r="P356" s="44" t="n">
        <f aca="false">R355</f>
        <v>0</v>
      </c>
      <c r="Q356" s="44" t="n">
        <f aca="false">IF(AND(P356&gt;0.005,349&lt;=NPer),ROUND(P356*RP,2),0)</f>
        <v>0</v>
      </c>
      <c r="R356" s="44" t="n">
        <f aca="false">IF(AND(P356&gt;0.005,349&lt;=NPer),ROUND(P356-IF(349&lt;=Grace,0,IF(349=NPer,P356,IF(Method="Equal principal (reducing payments)",MIN(ROUND(EqPrin,2),P356),MIN(ROUND(Annuity-Q356,2),P356)))),2),0)</f>
        <v>0</v>
      </c>
    </row>
    <row r="357" customFormat="false" ht="15" hidden="false" customHeight="false" outlineLevel="0" collapsed="false">
      <c r="A357" s="38" t="str">
        <f aca="false">IF(AND(N(K356)&gt;0.005,A356&lt;NPer),A356+1,"")</f>
        <v/>
      </c>
      <c r="B357" s="39" t="str">
        <f aca="false">IF(A357="","",EDATE(Disb,A357*MPP))</f>
        <v/>
      </c>
      <c r="C357" s="40" t="str">
        <f aca="false">IF(A357="","",IF(A357&lt;=Grace,"Grace","Repayment"))</f>
        <v/>
      </c>
      <c r="D357" s="41" t="str">
        <f aca="false">IF(A357="","",K356)</f>
        <v/>
      </c>
      <c r="E357" s="41" t="str">
        <f aca="false">IF(AND(A357&lt;&gt;"",D357&gt;0.005),F357+G357,"")</f>
        <v/>
      </c>
      <c r="F357" s="41" t="str">
        <f aca="false">IF(AND(A357&lt;&gt;"",D357&gt;0.005),ROUND(D357*RP,2),"")</f>
        <v/>
      </c>
      <c r="G357" s="41" t="str">
        <f aca="false">IF(AND(A357&lt;&gt;"",D357&gt;0.005),IF(A357&lt;=Grace,0,IF(A357=NPer,D357,IF(Method="Equal principal (reducing payments)",MIN(ROUND(EqPrin,2),D357),MIN(ROUND(Annuity-F357,2),D357)))),"")</f>
        <v/>
      </c>
      <c r="H357" s="41" t="str">
        <f aca="false">IF(AND(A357&lt;&gt;"",D357&gt;0.005),IF(A357&lt;=Grace,0,MIN(Extra,D357-G357)),"")</f>
        <v/>
      </c>
      <c r="I357" s="41" t="str">
        <f aca="false">IF(AND(A357&lt;&gt;"",D357&gt;0.005),MIN(SUMIF(LumpN,A357,LumpAmt),D357-G357-H357),"")</f>
        <v/>
      </c>
      <c r="J357" s="42" t="str">
        <f aca="false">IF(AND(A357&lt;&gt;"",D357&gt;0.005),E357+H357+I357,"")</f>
        <v/>
      </c>
      <c r="K357" s="42" t="str">
        <f aca="false">IF(AND(A357&lt;&gt;"",D357&gt;0.005),ROUND(D357-G357-H357-I357,2),"")</f>
        <v/>
      </c>
      <c r="L357" s="41" t="str">
        <f aca="false">IF(AND(A357&lt;&gt;"",D357&gt;0.005),L356+F357,"")</f>
        <v/>
      </c>
      <c r="M357" s="41" t="str">
        <f aca="false">IF(AND(A357&lt;&gt;"",D357&gt;0.005),M356+G357+H357+I357,"")</f>
        <v/>
      </c>
      <c r="N357" s="43" t="str">
        <f aca="false">IF(B357="","",YEAR(B357))</f>
        <v/>
      </c>
      <c r="O357" s="44" t="n">
        <f aca="false">IF(AND(A357&lt;&gt;"",D357&gt;0.005),J357,0)</f>
        <v>0</v>
      </c>
      <c r="P357" s="44" t="n">
        <f aca="false">R356</f>
        <v>0</v>
      </c>
      <c r="Q357" s="44" t="n">
        <f aca="false">IF(AND(P357&gt;0.005,350&lt;=NPer),ROUND(P357*RP,2),0)</f>
        <v>0</v>
      </c>
      <c r="R357" s="44" t="n">
        <f aca="false">IF(AND(P357&gt;0.005,350&lt;=NPer),ROUND(P357-IF(350&lt;=Grace,0,IF(350=NPer,P357,IF(Method="Equal principal (reducing payments)",MIN(ROUND(EqPrin,2),P357),MIN(ROUND(Annuity-Q357,2),P357)))),2),0)</f>
        <v>0</v>
      </c>
    </row>
    <row r="358" customFormat="false" ht="15" hidden="false" customHeight="false" outlineLevel="0" collapsed="false">
      <c r="A358" s="38" t="str">
        <f aca="false">IF(AND(N(K357)&gt;0.005,A357&lt;NPer),A357+1,"")</f>
        <v/>
      </c>
      <c r="B358" s="39" t="str">
        <f aca="false">IF(A358="","",EDATE(Disb,A358*MPP))</f>
        <v/>
      </c>
      <c r="C358" s="40" t="str">
        <f aca="false">IF(A358="","",IF(A358&lt;=Grace,"Grace","Repayment"))</f>
        <v/>
      </c>
      <c r="D358" s="41" t="str">
        <f aca="false">IF(A358="","",K357)</f>
        <v/>
      </c>
      <c r="E358" s="41" t="str">
        <f aca="false">IF(AND(A358&lt;&gt;"",D358&gt;0.005),F358+G358,"")</f>
        <v/>
      </c>
      <c r="F358" s="41" t="str">
        <f aca="false">IF(AND(A358&lt;&gt;"",D358&gt;0.005),ROUND(D358*RP,2),"")</f>
        <v/>
      </c>
      <c r="G358" s="41" t="str">
        <f aca="false">IF(AND(A358&lt;&gt;"",D358&gt;0.005),IF(A358&lt;=Grace,0,IF(A358=NPer,D358,IF(Method="Equal principal (reducing payments)",MIN(ROUND(EqPrin,2),D358),MIN(ROUND(Annuity-F358,2),D358)))),"")</f>
        <v/>
      </c>
      <c r="H358" s="41" t="str">
        <f aca="false">IF(AND(A358&lt;&gt;"",D358&gt;0.005),IF(A358&lt;=Grace,0,MIN(Extra,D358-G358)),"")</f>
        <v/>
      </c>
      <c r="I358" s="41" t="str">
        <f aca="false">IF(AND(A358&lt;&gt;"",D358&gt;0.005),MIN(SUMIF(LumpN,A358,LumpAmt),D358-G358-H358),"")</f>
        <v/>
      </c>
      <c r="J358" s="42" t="str">
        <f aca="false">IF(AND(A358&lt;&gt;"",D358&gt;0.005),E358+H358+I358,"")</f>
        <v/>
      </c>
      <c r="K358" s="42" t="str">
        <f aca="false">IF(AND(A358&lt;&gt;"",D358&gt;0.005),ROUND(D358-G358-H358-I358,2),"")</f>
        <v/>
      </c>
      <c r="L358" s="41" t="str">
        <f aca="false">IF(AND(A358&lt;&gt;"",D358&gt;0.005),L357+F358,"")</f>
        <v/>
      </c>
      <c r="M358" s="41" t="str">
        <f aca="false">IF(AND(A358&lt;&gt;"",D358&gt;0.005),M357+G358+H358+I358,"")</f>
        <v/>
      </c>
      <c r="N358" s="43" t="str">
        <f aca="false">IF(B358="","",YEAR(B358))</f>
        <v/>
      </c>
      <c r="O358" s="44" t="n">
        <f aca="false">IF(AND(A358&lt;&gt;"",D358&gt;0.005),J358,0)</f>
        <v>0</v>
      </c>
      <c r="P358" s="44" t="n">
        <f aca="false">R357</f>
        <v>0</v>
      </c>
      <c r="Q358" s="44" t="n">
        <f aca="false">IF(AND(P358&gt;0.005,351&lt;=NPer),ROUND(P358*RP,2),0)</f>
        <v>0</v>
      </c>
      <c r="R358" s="44" t="n">
        <f aca="false">IF(AND(P358&gt;0.005,351&lt;=NPer),ROUND(P358-IF(351&lt;=Grace,0,IF(351=NPer,P358,IF(Method="Equal principal (reducing payments)",MIN(ROUND(EqPrin,2),P358),MIN(ROUND(Annuity-Q358,2),P358)))),2),0)</f>
        <v>0</v>
      </c>
    </row>
    <row r="359" customFormat="false" ht="15" hidden="false" customHeight="false" outlineLevel="0" collapsed="false">
      <c r="A359" s="38" t="str">
        <f aca="false">IF(AND(N(K358)&gt;0.005,A358&lt;NPer),A358+1,"")</f>
        <v/>
      </c>
      <c r="B359" s="39" t="str">
        <f aca="false">IF(A359="","",EDATE(Disb,A359*MPP))</f>
        <v/>
      </c>
      <c r="C359" s="40" t="str">
        <f aca="false">IF(A359="","",IF(A359&lt;=Grace,"Grace","Repayment"))</f>
        <v/>
      </c>
      <c r="D359" s="41" t="str">
        <f aca="false">IF(A359="","",K358)</f>
        <v/>
      </c>
      <c r="E359" s="41" t="str">
        <f aca="false">IF(AND(A359&lt;&gt;"",D359&gt;0.005),F359+G359,"")</f>
        <v/>
      </c>
      <c r="F359" s="41" t="str">
        <f aca="false">IF(AND(A359&lt;&gt;"",D359&gt;0.005),ROUND(D359*RP,2),"")</f>
        <v/>
      </c>
      <c r="G359" s="41" t="str">
        <f aca="false">IF(AND(A359&lt;&gt;"",D359&gt;0.005),IF(A359&lt;=Grace,0,IF(A359=NPer,D359,IF(Method="Equal principal (reducing payments)",MIN(ROUND(EqPrin,2),D359),MIN(ROUND(Annuity-F359,2),D359)))),"")</f>
        <v/>
      </c>
      <c r="H359" s="41" t="str">
        <f aca="false">IF(AND(A359&lt;&gt;"",D359&gt;0.005),IF(A359&lt;=Grace,0,MIN(Extra,D359-G359)),"")</f>
        <v/>
      </c>
      <c r="I359" s="41" t="str">
        <f aca="false">IF(AND(A359&lt;&gt;"",D359&gt;0.005),MIN(SUMIF(LumpN,A359,LumpAmt),D359-G359-H359),"")</f>
        <v/>
      </c>
      <c r="J359" s="42" t="str">
        <f aca="false">IF(AND(A359&lt;&gt;"",D359&gt;0.005),E359+H359+I359,"")</f>
        <v/>
      </c>
      <c r="K359" s="42" t="str">
        <f aca="false">IF(AND(A359&lt;&gt;"",D359&gt;0.005),ROUND(D359-G359-H359-I359,2),"")</f>
        <v/>
      </c>
      <c r="L359" s="41" t="str">
        <f aca="false">IF(AND(A359&lt;&gt;"",D359&gt;0.005),L358+F359,"")</f>
        <v/>
      </c>
      <c r="M359" s="41" t="str">
        <f aca="false">IF(AND(A359&lt;&gt;"",D359&gt;0.005),M358+G359+H359+I359,"")</f>
        <v/>
      </c>
      <c r="N359" s="43" t="str">
        <f aca="false">IF(B359="","",YEAR(B359))</f>
        <v/>
      </c>
      <c r="O359" s="44" t="n">
        <f aca="false">IF(AND(A359&lt;&gt;"",D359&gt;0.005),J359,0)</f>
        <v>0</v>
      </c>
      <c r="P359" s="44" t="n">
        <f aca="false">R358</f>
        <v>0</v>
      </c>
      <c r="Q359" s="44" t="n">
        <f aca="false">IF(AND(P359&gt;0.005,352&lt;=NPer),ROUND(P359*RP,2),0)</f>
        <v>0</v>
      </c>
      <c r="R359" s="44" t="n">
        <f aca="false">IF(AND(P359&gt;0.005,352&lt;=NPer),ROUND(P359-IF(352&lt;=Grace,0,IF(352=NPer,P359,IF(Method="Equal principal (reducing payments)",MIN(ROUND(EqPrin,2),P359),MIN(ROUND(Annuity-Q359,2),P359)))),2),0)</f>
        <v>0</v>
      </c>
    </row>
    <row r="360" customFormat="false" ht="15" hidden="false" customHeight="false" outlineLevel="0" collapsed="false">
      <c r="A360" s="38" t="str">
        <f aca="false">IF(AND(N(K359)&gt;0.005,A359&lt;NPer),A359+1,"")</f>
        <v/>
      </c>
      <c r="B360" s="39" t="str">
        <f aca="false">IF(A360="","",EDATE(Disb,A360*MPP))</f>
        <v/>
      </c>
      <c r="C360" s="40" t="str">
        <f aca="false">IF(A360="","",IF(A360&lt;=Grace,"Grace","Repayment"))</f>
        <v/>
      </c>
      <c r="D360" s="41" t="str">
        <f aca="false">IF(A360="","",K359)</f>
        <v/>
      </c>
      <c r="E360" s="41" t="str">
        <f aca="false">IF(AND(A360&lt;&gt;"",D360&gt;0.005),F360+G360,"")</f>
        <v/>
      </c>
      <c r="F360" s="41" t="str">
        <f aca="false">IF(AND(A360&lt;&gt;"",D360&gt;0.005),ROUND(D360*RP,2),"")</f>
        <v/>
      </c>
      <c r="G360" s="41" t="str">
        <f aca="false">IF(AND(A360&lt;&gt;"",D360&gt;0.005),IF(A360&lt;=Grace,0,IF(A360=NPer,D360,IF(Method="Equal principal (reducing payments)",MIN(ROUND(EqPrin,2),D360),MIN(ROUND(Annuity-F360,2),D360)))),"")</f>
        <v/>
      </c>
      <c r="H360" s="41" t="str">
        <f aca="false">IF(AND(A360&lt;&gt;"",D360&gt;0.005),IF(A360&lt;=Grace,0,MIN(Extra,D360-G360)),"")</f>
        <v/>
      </c>
      <c r="I360" s="41" t="str">
        <f aca="false">IF(AND(A360&lt;&gt;"",D360&gt;0.005),MIN(SUMIF(LumpN,A360,LumpAmt),D360-G360-H360),"")</f>
        <v/>
      </c>
      <c r="J360" s="42" t="str">
        <f aca="false">IF(AND(A360&lt;&gt;"",D360&gt;0.005),E360+H360+I360,"")</f>
        <v/>
      </c>
      <c r="K360" s="42" t="str">
        <f aca="false">IF(AND(A360&lt;&gt;"",D360&gt;0.005),ROUND(D360-G360-H360-I360,2),"")</f>
        <v/>
      </c>
      <c r="L360" s="41" t="str">
        <f aca="false">IF(AND(A360&lt;&gt;"",D360&gt;0.005),L359+F360,"")</f>
        <v/>
      </c>
      <c r="M360" s="41" t="str">
        <f aca="false">IF(AND(A360&lt;&gt;"",D360&gt;0.005),M359+G360+H360+I360,"")</f>
        <v/>
      </c>
      <c r="N360" s="43" t="str">
        <f aca="false">IF(B360="","",YEAR(B360))</f>
        <v/>
      </c>
      <c r="O360" s="44" t="n">
        <f aca="false">IF(AND(A360&lt;&gt;"",D360&gt;0.005),J360,0)</f>
        <v>0</v>
      </c>
      <c r="P360" s="44" t="n">
        <f aca="false">R359</f>
        <v>0</v>
      </c>
      <c r="Q360" s="44" t="n">
        <f aca="false">IF(AND(P360&gt;0.005,353&lt;=NPer),ROUND(P360*RP,2),0)</f>
        <v>0</v>
      </c>
      <c r="R360" s="44" t="n">
        <f aca="false">IF(AND(P360&gt;0.005,353&lt;=NPer),ROUND(P360-IF(353&lt;=Grace,0,IF(353=NPer,P360,IF(Method="Equal principal (reducing payments)",MIN(ROUND(EqPrin,2),P360),MIN(ROUND(Annuity-Q360,2),P360)))),2),0)</f>
        <v>0</v>
      </c>
    </row>
    <row r="361" customFormat="false" ht="15" hidden="false" customHeight="false" outlineLevel="0" collapsed="false">
      <c r="A361" s="38" t="str">
        <f aca="false">IF(AND(N(K360)&gt;0.005,A360&lt;NPer),A360+1,"")</f>
        <v/>
      </c>
      <c r="B361" s="39" t="str">
        <f aca="false">IF(A361="","",EDATE(Disb,A361*MPP))</f>
        <v/>
      </c>
      <c r="C361" s="40" t="str">
        <f aca="false">IF(A361="","",IF(A361&lt;=Grace,"Grace","Repayment"))</f>
        <v/>
      </c>
      <c r="D361" s="41" t="str">
        <f aca="false">IF(A361="","",K360)</f>
        <v/>
      </c>
      <c r="E361" s="41" t="str">
        <f aca="false">IF(AND(A361&lt;&gt;"",D361&gt;0.005),F361+G361,"")</f>
        <v/>
      </c>
      <c r="F361" s="41" t="str">
        <f aca="false">IF(AND(A361&lt;&gt;"",D361&gt;0.005),ROUND(D361*RP,2),"")</f>
        <v/>
      </c>
      <c r="G361" s="41" t="str">
        <f aca="false">IF(AND(A361&lt;&gt;"",D361&gt;0.005),IF(A361&lt;=Grace,0,IF(A361=NPer,D361,IF(Method="Equal principal (reducing payments)",MIN(ROUND(EqPrin,2),D361),MIN(ROUND(Annuity-F361,2),D361)))),"")</f>
        <v/>
      </c>
      <c r="H361" s="41" t="str">
        <f aca="false">IF(AND(A361&lt;&gt;"",D361&gt;0.005),IF(A361&lt;=Grace,0,MIN(Extra,D361-G361)),"")</f>
        <v/>
      </c>
      <c r="I361" s="41" t="str">
        <f aca="false">IF(AND(A361&lt;&gt;"",D361&gt;0.005),MIN(SUMIF(LumpN,A361,LumpAmt),D361-G361-H361),"")</f>
        <v/>
      </c>
      <c r="J361" s="42" t="str">
        <f aca="false">IF(AND(A361&lt;&gt;"",D361&gt;0.005),E361+H361+I361,"")</f>
        <v/>
      </c>
      <c r="K361" s="42" t="str">
        <f aca="false">IF(AND(A361&lt;&gt;"",D361&gt;0.005),ROUND(D361-G361-H361-I361,2),"")</f>
        <v/>
      </c>
      <c r="L361" s="41" t="str">
        <f aca="false">IF(AND(A361&lt;&gt;"",D361&gt;0.005),L360+F361,"")</f>
        <v/>
      </c>
      <c r="M361" s="41" t="str">
        <f aca="false">IF(AND(A361&lt;&gt;"",D361&gt;0.005),M360+G361+H361+I361,"")</f>
        <v/>
      </c>
      <c r="N361" s="43" t="str">
        <f aca="false">IF(B361="","",YEAR(B361))</f>
        <v/>
      </c>
      <c r="O361" s="44" t="n">
        <f aca="false">IF(AND(A361&lt;&gt;"",D361&gt;0.005),J361,0)</f>
        <v>0</v>
      </c>
      <c r="P361" s="44" t="n">
        <f aca="false">R360</f>
        <v>0</v>
      </c>
      <c r="Q361" s="44" t="n">
        <f aca="false">IF(AND(P361&gt;0.005,354&lt;=NPer),ROUND(P361*RP,2),0)</f>
        <v>0</v>
      </c>
      <c r="R361" s="44" t="n">
        <f aca="false">IF(AND(P361&gt;0.005,354&lt;=NPer),ROUND(P361-IF(354&lt;=Grace,0,IF(354=NPer,P361,IF(Method="Equal principal (reducing payments)",MIN(ROUND(EqPrin,2),P361),MIN(ROUND(Annuity-Q361,2),P361)))),2),0)</f>
        <v>0</v>
      </c>
    </row>
    <row r="362" customFormat="false" ht="15" hidden="false" customHeight="false" outlineLevel="0" collapsed="false">
      <c r="A362" s="38" t="str">
        <f aca="false">IF(AND(N(K361)&gt;0.005,A361&lt;NPer),A361+1,"")</f>
        <v/>
      </c>
      <c r="B362" s="39" t="str">
        <f aca="false">IF(A362="","",EDATE(Disb,A362*MPP))</f>
        <v/>
      </c>
      <c r="C362" s="40" t="str">
        <f aca="false">IF(A362="","",IF(A362&lt;=Grace,"Grace","Repayment"))</f>
        <v/>
      </c>
      <c r="D362" s="41" t="str">
        <f aca="false">IF(A362="","",K361)</f>
        <v/>
      </c>
      <c r="E362" s="41" t="str">
        <f aca="false">IF(AND(A362&lt;&gt;"",D362&gt;0.005),F362+G362,"")</f>
        <v/>
      </c>
      <c r="F362" s="41" t="str">
        <f aca="false">IF(AND(A362&lt;&gt;"",D362&gt;0.005),ROUND(D362*RP,2),"")</f>
        <v/>
      </c>
      <c r="G362" s="41" t="str">
        <f aca="false">IF(AND(A362&lt;&gt;"",D362&gt;0.005),IF(A362&lt;=Grace,0,IF(A362=NPer,D362,IF(Method="Equal principal (reducing payments)",MIN(ROUND(EqPrin,2),D362),MIN(ROUND(Annuity-F362,2),D362)))),"")</f>
        <v/>
      </c>
      <c r="H362" s="41" t="str">
        <f aca="false">IF(AND(A362&lt;&gt;"",D362&gt;0.005),IF(A362&lt;=Grace,0,MIN(Extra,D362-G362)),"")</f>
        <v/>
      </c>
      <c r="I362" s="41" t="str">
        <f aca="false">IF(AND(A362&lt;&gt;"",D362&gt;0.005),MIN(SUMIF(LumpN,A362,LumpAmt),D362-G362-H362),"")</f>
        <v/>
      </c>
      <c r="J362" s="42" t="str">
        <f aca="false">IF(AND(A362&lt;&gt;"",D362&gt;0.005),E362+H362+I362,"")</f>
        <v/>
      </c>
      <c r="K362" s="42" t="str">
        <f aca="false">IF(AND(A362&lt;&gt;"",D362&gt;0.005),ROUND(D362-G362-H362-I362,2),"")</f>
        <v/>
      </c>
      <c r="L362" s="41" t="str">
        <f aca="false">IF(AND(A362&lt;&gt;"",D362&gt;0.005),L361+F362,"")</f>
        <v/>
      </c>
      <c r="M362" s="41" t="str">
        <f aca="false">IF(AND(A362&lt;&gt;"",D362&gt;0.005),M361+G362+H362+I362,"")</f>
        <v/>
      </c>
      <c r="N362" s="43" t="str">
        <f aca="false">IF(B362="","",YEAR(B362))</f>
        <v/>
      </c>
      <c r="O362" s="44" t="n">
        <f aca="false">IF(AND(A362&lt;&gt;"",D362&gt;0.005),J362,0)</f>
        <v>0</v>
      </c>
      <c r="P362" s="44" t="n">
        <f aca="false">R361</f>
        <v>0</v>
      </c>
      <c r="Q362" s="44" t="n">
        <f aca="false">IF(AND(P362&gt;0.005,355&lt;=NPer),ROUND(P362*RP,2),0)</f>
        <v>0</v>
      </c>
      <c r="R362" s="44" t="n">
        <f aca="false">IF(AND(P362&gt;0.005,355&lt;=NPer),ROUND(P362-IF(355&lt;=Grace,0,IF(355=NPer,P362,IF(Method="Equal principal (reducing payments)",MIN(ROUND(EqPrin,2),P362),MIN(ROUND(Annuity-Q362,2),P362)))),2),0)</f>
        <v>0</v>
      </c>
    </row>
    <row r="363" customFormat="false" ht="15" hidden="false" customHeight="false" outlineLevel="0" collapsed="false">
      <c r="A363" s="38" t="str">
        <f aca="false">IF(AND(N(K362)&gt;0.005,A362&lt;NPer),A362+1,"")</f>
        <v/>
      </c>
      <c r="B363" s="39" t="str">
        <f aca="false">IF(A363="","",EDATE(Disb,A363*MPP))</f>
        <v/>
      </c>
      <c r="C363" s="40" t="str">
        <f aca="false">IF(A363="","",IF(A363&lt;=Grace,"Grace","Repayment"))</f>
        <v/>
      </c>
      <c r="D363" s="41" t="str">
        <f aca="false">IF(A363="","",K362)</f>
        <v/>
      </c>
      <c r="E363" s="41" t="str">
        <f aca="false">IF(AND(A363&lt;&gt;"",D363&gt;0.005),F363+G363,"")</f>
        <v/>
      </c>
      <c r="F363" s="41" t="str">
        <f aca="false">IF(AND(A363&lt;&gt;"",D363&gt;0.005),ROUND(D363*RP,2),"")</f>
        <v/>
      </c>
      <c r="G363" s="41" t="str">
        <f aca="false">IF(AND(A363&lt;&gt;"",D363&gt;0.005),IF(A363&lt;=Grace,0,IF(A363=NPer,D363,IF(Method="Equal principal (reducing payments)",MIN(ROUND(EqPrin,2),D363),MIN(ROUND(Annuity-F363,2),D363)))),"")</f>
        <v/>
      </c>
      <c r="H363" s="41" t="str">
        <f aca="false">IF(AND(A363&lt;&gt;"",D363&gt;0.005),IF(A363&lt;=Grace,0,MIN(Extra,D363-G363)),"")</f>
        <v/>
      </c>
      <c r="I363" s="41" t="str">
        <f aca="false">IF(AND(A363&lt;&gt;"",D363&gt;0.005),MIN(SUMIF(LumpN,A363,LumpAmt),D363-G363-H363),"")</f>
        <v/>
      </c>
      <c r="J363" s="42" t="str">
        <f aca="false">IF(AND(A363&lt;&gt;"",D363&gt;0.005),E363+H363+I363,"")</f>
        <v/>
      </c>
      <c r="K363" s="42" t="str">
        <f aca="false">IF(AND(A363&lt;&gt;"",D363&gt;0.005),ROUND(D363-G363-H363-I363,2),"")</f>
        <v/>
      </c>
      <c r="L363" s="41" t="str">
        <f aca="false">IF(AND(A363&lt;&gt;"",D363&gt;0.005),L362+F363,"")</f>
        <v/>
      </c>
      <c r="M363" s="41" t="str">
        <f aca="false">IF(AND(A363&lt;&gt;"",D363&gt;0.005),M362+G363+H363+I363,"")</f>
        <v/>
      </c>
      <c r="N363" s="43" t="str">
        <f aca="false">IF(B363="","",YEAR(B363))</f>
        <v/>
      </c>
      <c r="O363" s="44" t="n">
        <f aca="false">IF(AND(A363&lt;&gt;"",D363&gt;0.005),J363,0)</f>
        <v>0</v>
      </c>
      <c r="P363" s="44" t="n">
        <f aca="false">R362</f>
        <v>0</v>
      </c>
      <c r="Q363" s="44" t="n">
        <f aca="false">IF(AND(P363&gt;0.005,356&lt;=NPer),ROUND(P363*RP,2),0)</f>
        <v>0</v>
      </c>
      <c r="R363" s="44" t="n">
        <f aca="false">IF(AND(P363&gt;0.005,356&lt;=NPer),ROUND(P363-IF(356&lt;=Grace,0,IF(356=NPer,P363,IF(Method="Equal principal (reducing payments)",MIN(ROUND(EqPrin,2),P363),MIN(ROUND(Annuity-Q363,2),P363)))),2),0)</f>
        <v>0</v>
      </c>
    </row>
    <row r="364" customFormat="false" ht="15" hidden="false" customHeight="false" outlineLevel="0" collapsed="false">
      <c r="A364" s="38" t="str">
        <f aca="false">IF(AND(N(K363)&gt;0.005,A363&lt;NPer),A363+1,"")</f>
        <v/>
      </c>
      <c r="B364" s="39" t="str">
        <f aca="false">IF(A364="","",EDATE(Disb,A364*MPP))</f>
        <v/>
      </c>
      <c r="C364" s="40" t="str">
        <f aca="false">IF(A364="","",IF(A364&lt;=Grace,"Grace","Repayment"))</f>
        <v/>
      </c>
      <c r="D364" s="41" t="str">
        <f aca="false">IF(A364="","",K363)</f>
        <v/>
      </c>
      <c r="E364" s="41" t="str">
        <f aca="false">IF(AND(A364&lt;&gt;"",D364&gt;0.005),F364+G364,"")</f>
        <v/>
      </c>
      <c r="F364" s="41" t="str">
        <f aca="false">IF(AND(A364&lt;&gt;"",D364&gt;0.005),ROUND(D364*RP,2),"")</f>
        <v/>
      </c>
      <c r="G364" s="41" t="str">
        <f aca="false">IF(AND(A364&lt;&gt;"",D364&gt;0.005),IF(A364&lt;=Grace,0,IF(A364=NPer,D364,IF(Method="Equal principal (reducing payments)",MIN(ROUND(EqPrin,2),D364),MIN(ROUND(Annuity-F364,2),D364)))),"")</f>
        <v/>
      </c>
      <c r="H364" s="41" t="str">
        <f aca="false">IF(AND(A364&lt;&gt;"",D364&gt;0.005),IF(A364&lt;=Grace,0,MIN(Extra,D364-G364)),"")</f>
        <v/>
      </c>
      <c r="I364" s="41" t="str">
        <f aca="false">IF(AND(A364&lt;&gt;"",D364&gt;0.005),MIN(SUMIF(LumpN,A364,LumpAmt),D364-G364-H364),"")</f>
        <v/>
      </c>
      <c r="J364" s="42" t="str">
        <f aca="false">IF(AND(A364&lt;&gt;"",D364&gt;0.005),E364+H364+I364,"")</f>
        <v/>
      </c>
      <c r="K364" s="42" t="str">
        <f aca="false">IF(AND(A364&lt;&gt;"",D364&gt;0.005),ROUND(D364-G364-H364-I364,2),"")</f>
        <v/>
      </c>
      <c r="L364" s="41" t="str">
        <f aca="false">IF(AND(A364&lt;&gt;"",D364&gt;0.005),L363+F364,"")</f>
        <v/>
      </c>
      <c r="M364" s="41" t="str">
        <f aca="false">IF(AND(A364&lt;&gt;"",D364&gt;0.005),M363+G364+H364+I364,"")</f>
        <v/>
      </c>
      <c r="N364" s="43" t="str">
        <f aca="false">IF(B364="","",YEAR(B364))</f>
        <v/>
      </c>
      <c r="O364" s="44" t="n">
        <f aca="false">IF(AND(A364&lt;&gt;"",D364&gt;0.005),J364,0)</f>
        <v>0</v>
      </c>
      <c r="P364" s="44" t="n">
        <f aca="false">R363</f>
        <v>0</v>
      </c>
      <c r="Q364" s="44" t="n">
        <f aca="false">IF(AND(P364&gt;0.005,357&lt;=NPer),ROUND(P364*RP,2),0)</f>
        <v>0</v>
      </c>
      <c r="R364" s="44" t="n">
        <f aca="false">IF(AND(P364&gt;0.005,357&lt;=NPer),ROUND(P364-IF(357&lt;=Grace,0,IF(357=NPer,P364,IF(Method="Equal principal (reducing payments)",MIN(ROUND(EqPrin,2),P364),MIN(ROUND(Annuity-Q364,2),P364)))),2),0)</f>
        <v>0</v>
      </c>
    </row>
    <row r="365" customFormat="false" ht="15" hidden="false" customHeight="false" outlineLevel="0" collapsed="false">
      <c r="A365" s="38" t="str">
        <f aca="false">IF(AND(N(K364)&gt;0.005,A364&lt;NPer),A364+1,"")</f>
        <v/>
      </c>
      <c r="B365" s="39" t="str">
        <f aca="false">IF(A365="","",EDATE(Disb,A365*MPP))</f>
        <v/>
      </c>
      <c r="C365" s="40" t="str">
        <f aca="false">IF(A365="","",IF(A365&lt;=Grace,"Grace","Repayment"))</f>
        <v/>
      </c>
      <c r="D365" s="41" t="str">
        <f aca="false">IF(A365="","",K364)</f>
        <v/>
      </c>
      <c r="E365" s="41" t="str">
        <f aca="false">IF(AND(A365&lt;&gt;"",D365&gt;0.005),F365+G365,"")</f>
        <v/>
      </c>
      <c r="F365" s="41" t="str">
        <f aca="false">IF(AND(A365&lt;&gt;"",D365&gt;0.005),ROUND(D365*RP,2),"")</f>
        <v/>
      </c>
      <c r="G365" s="41" t="str">
        <f aca="false">IF(AND(A365&lt;&gt;"",D365&gt;0.005),IF(A365&lt;=Grace,0,IF(A365=NPer,D365,IF(Method="Equal principal (reducing payments)",MIN(ROUND(EqPrin,2),D365),MIN(ROUND(Annuity-F365,2),D365)))),"")</f>
        <v/>
      </c>
      <c r="H365" s="41" t="str">
        <f aca="false">IF(AND(A365&lt;&gt;"",D365&gt;0.005),IF(A365&lt;=Grace,0,MIN(Extra,D365-G365)),"")</f>
        <v/>
      </c>
      <c r="I365" s="41" t="str">
        <f aca="false">IF(AND(A365&lt;&gt;"",D365&gt;0.005),MIN(SUMIF(LumpN,A365,LumpAmt),D365-G365-H365),"")</f>
        <v/>
      </c>
      <c r="J365" s="42" t="str">
        <f aca="false">IF(AND(A365&lt;&gt;"",D365&gt;0.005),E365+H365+I365,"")</f>
        <v/>
      </c>
      <c r="K365" s="42" t="str">
        <f aca="false">IF(AND(A365&lt;&gt;"",D365&gt;0.005),ROUND(D365-G365-H365-I365,2),"")</f>
        <v/>
      </c>
      <c r="L365" s="41" t="str">
        <f aca="false">IF(AND(A365&lt;&gt;"",D365&gt;0.005),L364+F365,"")</f>
        <v/>
      </c>
      <c r="M365" s="41" t="str">
        <f aca="false">IF(AND(A365&lt;&gt;"",D365&gt;0.005),M364+G365+H365+I365,"")</f>
        <v/>
      </c>
      <c r="N365" s="43" t="str">
        <f aca="false">IF(B365="","",YEAR(B365))</f>
        <v/>
      </c>
      <c r="O365" s="44" t="n">
        <f aca="false">IF(AND(A365&lt;&gt;"",D365&gt;0.005),J365,0)</f>
        <v>0</v>
      </c>
      <c r="P365" s="44" t="n">
        <f aca="false">R364</f>
        <v>0</v>
      </c>
      <c r="Q365" s="44" t="n">
        <f aca="false">IF(AND(P365&gt;0.005,358&lt;=NPer),ROUND(P365*RP,2),0)</f>
        <v>0</v>
      </c>
      <c r="R365" s="44" t="n">
        <f aca="false">IF(AND(P365&gt;0.005,358&lt;=NPer),ROUND(P365-IF(358&lt;=Grace,0,IF(358=NPer,P365,IF(Method="Equal principal (reducing payments)",MIN(ROUND(EqPrin,2),P365),MIN(ROUND(Annuity-Q365,2),P365)))),2),0)</f>
        <v>0</v>
      </c>
    </row>
    <row r="366" customFormat="false" ht="15" hidden="false" customHeight="false" outlineLevel="0" collapsed="false">
      <c r="A366" s="38" t="str">
        <f aca="false">IF(AND(N(K365)&gt;0.005,A365&lt;NPer),A365+1,"")</f>
        <v/>
      </c>
      <c r="B366" s="39" t="str">
        <f aca="false">IF(A366="","",EDATE(Disb,A366*MPP))</f>
        <v/>
      </c>
      <c r="C366" s="40" t="str">
        <f aca="false">IF(A366="","",IF(A366&lt;=Grace,"Grace","Repayment"))</f>
        <v/>
      </c>
      <c r="D366" s="41" t="str">
        <f aca="false">IF(A366="","",K365)</f>
        <v/>
      </c>
      <c r="E366" s="41" t="str">
        <f aca="false">IF(AND(A366&lt;&gt;"",D366&gt;0.005),F366+G366,"")</f>
        <v/>
      </c>
      <c r="F366" s="41" t="str">
        <f aca="false">IF(AND(A366&lt;&gt;"",D366&gt;0.005),ROUND(D366*RP,2),"")</f>
        <v/>
      </c>
      <c r="G366" s="41" t="str">
        <f aca="false">IF(AND(A366&lt;&gt;"",D366&gt;0.005),IF(A366&lt;=Grace,0,IF(A366=NPer,D366,IF(Method="Equal principal (reducing payments)",MIN(ROUND(EqPrin,2),D366),MIN(ROUND(Annuity-F366,2),D366)))),"")</f>
        <v/>
      </c>
      <c r="H366" s="41" t="str">
        <f aca="false">IF(AND(A366&lt;&gt;"",D366&gt;0.005),IF(A366&lt;=Grace,0,MIN(Extra,D366-G366)),"")</f>
        <v/>
      </c>
      <c r="I366" s="41" t="str">
        <f aca="false">IF(AND(A366&lt;&gt;"",D366&gt;0.005),MIN(SUMIF(LumpN,A366,LumpAmt),D366-G366-H366),"")</f>
        <v/>
      </c>
      <c r="J366" s="42" t="str">
        <f aca="false">IF(AND(A366&lt;&gt;"",D366&gt;0.005),E366+H366+I366,"")</f>
        <v/>
      </c>
      <c r="K366" s="42" t="str">
        <f aca="false">IF(AND(A366&lt;&gt;"",D366&gt;0.005),ROUND(D366-G366-H366-I366,2),"")</f>
        <v/>
      </c>
      <c r="L366" s="41" t="str">
        <f aca="false">IF(AND(A366&lt;&gt;"",D366&gt;0.005),L365+F366,"")</f>
        <v/>
      </c>
      <c r="M366" s="41" t="str">
        <f aca="false">IF(AND(A366&lt;&gt;"",D366&gt;0.005),M365+G366+H366+I366,"")</f>
        <v/>
      </c>
      <c r="N366" s="43" t="str">
        <f aca="false">IF(B366="","",YEAR(B366))</f>
        <v/>
      </c>
      <c r="O366" s="44" t="n">
        <f aca="false">IF(AND(A366&lt;&gt;"",D366&gt;0.005),J366,0)</f>
        <v>0</v>
      </c>
      <c r="P366" s="44" t="n">
        <f aca="false">R365</f>
        <v>0</v>
      </c>
      <c r="Q366" s="44" t="n">
        <f aca="false">IF(AND(P366&gt;0.005,359&lt;=NPer),ROUND(P366*RP,2),0)</f>
        <v>0</v>
      </c>
      <c r="R366" s="44" t="n">
        <f aca="false">IF(AND(P366&gt;0.005,359&lt;=NPer),ROUND(P366-IF(359&lt;=Grace,0,IF(359=NPer,P366,IF(Method="Equal principal (reducing payments)",MIN(ROUND(EqPrin,2),P366),MIN(ROUND(Annuity-Q366,2),P366)))),2),0)</f>
        <v>0</v>
      </c>
    </row>
    <row r="367" customFormat="false" ht="15" hidden="false" customHeight="false" outlineLevel="0" collapsed="false">
      <c r="A367" s="38" t="str">
        <f aca="false">IF(AND(N(K366)&gt;0.005,A366&lt;NPer),A366+1,"")</f>
        <v/>
      </c>
      <c r="B367" s="39" t="str">
        <f aca="false">IF(A367="","",EDATE(Disb,A367*MPP))</f>
        <v/>
      </c>
      <c r="C367" s="40" t="str">
        <f aca="false">IF(A367="","",IF(A367&lt;=Grace,"Grace","Repayment"))</f>
        <v/>
      </c>
      <c r="D367" s="41" t="str">
        <f aca="false">IF(A367="","",K366)</f>
        <v/>
      </c>
      <c r="E367" s="41" t="str">
        <f aca="false">IF(AND(A367&lt;&gt;"",D367&gt;0.005),F367+G367,"")</f>
        <v/>
      </c>
      <c r="F367" s="41" t="str">
        <f aca="false">IF(AND(A367&lt;&gt;"",D367&gt;0.005),ROUND(D367*RP,2),"")</f>
        <v/>
      </c>
      <c r="G367" s="41" t="str">
        <f aca="false">IF(AND(A367&lt;&gt;"",D367&gt;0.005),IF(A367&lt;=Grace,0,IF(A367=NPer,D367,IF(Method="Equal principal (reducing payments)",MIN(ROUND(EqPrin,2),D367),MIN(ROUND(Annuity-F367,2),D367)))),"")</f>
        <v/>
      </c>
      <c r="H367" s="41" t="str">
        <f aca="false">IF(AND(A367&lt;&gt;"",D367&gt;0.005),IF(A367&lt;=Grace,0,MIN(Extra,D367-G367)),"")</f>
        <v/>
      </c>
      <c r="I367" s="41" t="str">
        <f aca="false">IF(AND(A367&lt;&gt;"",D367&gt;0.005),MIN(SUMIF(LumpN,A367,LumpAmt),D367-G367-H367),"")</f>
        <v/>
      </c>
      <c r="J367" s="42" t="str">
        <f aca="false">IF(AND(A367&lt;&gt;"",D367&gt;0.005),E367+H367+I367,"")</f>
        <v/>
      </c>
      <c r="K367" s="42" t="str">
        <f aca="false">IF(AND(A367&lt;&gt;"",D367&gt;0.005),ROUND(D367-G367-H367-I367,2),"")</f>
        <v/>
      </c>
      <c r="L367" s="41" t="str">
        <f aca="false">IF(AND(A367&lt;&gt;"",D367&gt;0.005),L366+F367,"")</f>
        <v/>
      </c>
      <c r="M367" s="41" t="str">
        <f aca="false">IF(AND(A367&lt;&gt;"",D367&gt;0.005),M366+G367+H367+I367,"")</f>
        <v/>
      </c>
      <c r="N367" s="43" t="str">
        <f aca="false">IF(B367="","",YEAR(B367))</f>
        <v/>
      </c>
      <c r="O367" s="44" t="n">
        <f aca="false">IF(AND(A367&lt;&gt;"",D367&gt;0.005),J367,0)</f>
        <v>0</v>
      </c>
      <c r="P367" s="44" t="n">
        <f aca="false">R366</f>
        <v>0</v>
      </c>
      <c r="Q367" s="44" t="n">
        <f aca="false">IF(AND(P367&gt;0.005,360&lt;=NPer),ROUND(P367*RP,2),0)</f>
        <v>0</v>
      </c>
      <c r="R367" s="44" t="n">
        <f aca="false">IF(AND(P367&gt;0.005,360&lt;=NPer),ROUND(P367-IF(360&lt;=Grace,0,IF(360=NPer,P367,IF(Method="Equal principal (reducing payments)",MIN(ROUND(EqPrin,2),P367),MIN(ROUND(Annuity-Q367,2),P367)))),2),0)</f>
        <v>0</v>
      </c>
    </row>
  </sheetData>
  <conditionalFormatting sqref="A8:N367">
    <cfRule type="expression" priority="2" aboveAverage="0" equalAverage="0" bottom="0" percent="0" rank="0" text="" dxfId="1">
      <formula>$C8="Grace"</formula>
    </cfRule>
  </conditionalFormatting>
  <conditionalFormatting sqref="I8:I367">
    <cfRule type="cellIs" priority="3" operator="greaterThan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G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5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0" t="s">
        <v>99</v>
      </c>
    </row>
    <row r="2" customFormat="false" ht="15" hidden="false" customHeight="false" outlineLevel="0" collapsed="false">
      <c r="A2" s="2" t="str">
        <f aca="false">Borrower&amp;"   |   "&amp;Cur</f>
        <v>[Business name]   |   GHS</v>
      </c>
    </row>
    <row r="4" customFormat="false" ht="33.75" hidden="false" customHeight="true" outlineLevel="0" collapsed="false">
      <c r="A4" s="33" t="s">
        <v>100</v>
      </c>
      <c r="B4" s="33" t="s">
        <v>101</v>
      </c>
      <c r="C4" s="33" t="s">
        <v>89</v>
      </c>
      <c r="D4" s="33" t="s">
        <v>85</v>
      </c>
      <c r="E4" s="33" t="s">
        <v>102</v>
      </c>
      <c r="F4" s="33" t="s">
        <v>90</v>
      </c>
      <c r="G4" s="33" t="s">
        <v>103</v>
      </c>
    </row>
    <row r="5" customFormat="false" ht="15" hidden="false" customHeight="false" outlineLevel="0" collapsed="false">
      <c r="A5" s="45" t="n">
        <f aca="false">YEAR(Disb)</f>
        <v>2026</v>
      </c>
      <c r="B5" s="46" t="n">
        <f aca="false">IF(A5="","",COUNTIF(S_Year,A5))</f>
        <v>1</v>
      </c>
      <c r="C5" s="28" t="n">
        <f aca="false">IF(A5="","",SUMIF(S_Year,A5,S_Tot))</f>
        <v>4583.33</v>
      </c>
      <c r="D5" s="28" t="n">
        <f aca="false">IF(A5="","",SUMIF(S_Year,A5,S_Int))</f>
        <v>4583.33</v>
      </c>
      <c r="E5" s="28" t="n">
        <f aca="false">IF(A5="","",SUMIF(S_Year,A5,S_Prin)+SUMIF(S_Year,A5,S_Extra)+SUMIF(S_Year,A5,S_Lump))</f>
        <v>0</v>
      </c>
      <c r="F5" s="47" t="n">
        <f aca="false">IF(A5="","",Loan-SUMIF(S_Year,"&lt;="&amp;A5,S_Prin)-SUMIF(S_Year,"&lt;="&amp;A5,S_Extra)-SUMIF(S_Year,"&lt;="&amp;A5,S_Lump))</f>
        <v>250000</v>
      </c>
      <c r="G5" s="48" t="n">
        <f aca="false">IF(OR(A5="",N(C5)=0),"",D5/C5)</f>
        <v>1</v>
      </c>
    </row>
    <row r="6" customFormat="false" ht="15" hidden="false" customHeight="false" outlineLevel="0" collapsed="false">
      <c r="A6" s="45" t="n">
        <f aca="false">IF(A5="","",IF(A5+1&gt;MAX(S_Year),"",A5+1))</f>
        <v>2027</v>
      </c>
      <c r="B6" s="46" t="n">
        <f aca="false">IF(A6="","",COUNTIF(S_Year,A6))</f>
        <v>12</v>
      </c>
      <c r="C6" s="28" t="n">
        <f aca="false">IF(A6="","",SUMIF(S_Year,A6,S_Tot))</f>
        <v>110809.46</v>
      </c>
      <c r="D6" s="28" t="n">
        <f aca="false">IF(A6="","",SUMIF(S_Year,A6,S_Int))</f>
        <v>50163.22</v>
      </c>
      <c r="E6" s="28" t="n">
        <f aca="false">IF(A6="","",SUMIF(S_Year,A6,S_Prin)+SUMIF(S_Year,A6,S_Extra)+SUMIF(S_Year,A6,S_Lump))</f>
        <v>60646.24</v>
      </c>
      <c r="F6" s="47" t="n">
        <f aca="false">IF(A6="","",Loan-SUMIF(S_Year,"&lt;="&amp;A6,S_Prin)-SUMIF(S_Year,"&lt;="&amp;A6,S_Extra)-SUMIF(S_Year,"&lt;="&amp;A6,S_Lump))</f>
        <v>189353.76</v>
      </c>
      <c r="G6" s="48" t="n">
        <f aca="false">IF(OR(A6="",N(C6)=0),"",D6/C6)</f>
        <v>0.452697991669664</v>
      </c>
    </row>
    <row r="7" customFormat="false" ht="15" hidden="false" customHeight="false" outlineLevel="0" collapsed="false">
      <c r="A7" s="45" t="n">
        <f aca="false">IF(A6="","",IF(A6+1&gt;MAX(S_Year),"",A6+1))</f>
        <v>2028</v>
      </c>
      <c r="B7" s="46" t="n">
        <f aca="false">IF(A7="","",COUNTIF(S_Year,A7))</f>
        <v>12</v>
      </c>
      <c r="C7" s="28" t="n">
        <f aca="false">IF(A7="","",SUMIF(S_Year,A7,S_Tot))</f>
        <v>151971.36</v>
      </c>
      <c r="D7" s="28" t="n">
        <f aca="false">IF(A7="","",SUMIF(S_Year,A7,S_Int))</f>
        <v>28975.29</v>
      </c>
      <c r="E7" s="28" t="n">
        <f aca="false">IF(A7="","",SUMIF(S_Year,A7,S_Prin)+SUMIF(S_Year,A7,S_Extra)+SUMIF(S_Year,A7,S_Lump))</f>
        <v>122996.07</v>
      </c>
      <c r="F7" s="47" t="n">
        <f aca="false">IF(A7="","",Loan-SUMIF(S_Year,"&lt;="&amp;A7,S_Prin)-SUMIF(S_Year,"&lt;="&amp;A7,S_Extra)-SUMIF(S_Year,"&lt;="&amp;A7,S_Lump))</f>
        <v>66357.69</v>
      </c>
      <c r="G7" s="48" t="n">
        <f aca="false">IF(OR(A7="",N(C7)=0),"",D7/C7)</f>
        <v>0.190662832786388</v>
      </c>
    </row>
    <row r="8" customFormat="false" ht="15" hidden="false" customHeight="false" outlineLevel="0" collapsed="false">
      <c r="A8" s="45" t="n">
        <f aca="false">IF(A7="","",IF(A7+1&gt;MAX(S_Year),"",A7+1))</f>
        <v>2029</v>
      </c>
      <c r="B8" s="46" t="n">
        <f aca="false">IF(A8="","",COUNTIF(S_Year,A8))</f>
        <v>8</v>
      </c>
      <c r="C8" s="28" t="n">
        <f aca="false">IF(A8="","",SUMIF(S_Year,A8,S_Tot))</f>
        <v>71324.68</v>
      </c>
      <c r="D8" s="28" t="n">
        <f aca="false">IF(A8="","",SUMIF(S_Year,A8,S_Int))</f>
        <v>4966.99</v>
      </c>
      <c r="E8" s="28" t="n">
        <f aca="false">IF(A8="","",SUMIF(S_Year,A8,S_Prin)+SUMIF(S_Year,A8,S_Extra)+SUMIF(S_Year,A8,S_Lump))</f>
        <v>66357.69</v>
      </c>
      <c r="F8" s="47" t="n">
        <f aca="false">IF(A8="","",Loan-SUMIF(S_Year,"&lt;="&amp;A8,S_Prin)-SUMIF(S_Year,"&lt;="&amp;A8,S_Extra)-SUMIF(S_Year,"&lt;="&amp;A8,S_Lump))</f>
        <v>0</v>
      </c>
      <c r="G8" s="48" t="n">
        <f aca="false">IF(OR(A8="",N(C8)=0),"",D8/C8)</f>
        <v>0.0696391487490726</v>
      </c>
    </row>
    <row r="9" customFormat="false" ht="15" hidden="false" customHeight="false" outlineLevel="0" collapsed="false">
      <c r="A9" s="45" t="str">
        <f aca="false">IF(A8="","",IF(A8+1&gt;MAX(S_Year),"",A8+1))</f>
        <v/>
      </c>
      <c r="B9" s="46" t="str">
        <f aca="false">IF(A9="","",COUNTIF(S_Year,A9))</f>
        <v/>
      </c>
      <c r="C9" s="28" t="str">
        <f aca="false">IF(A9="","",SUMIF(S_Year,A9,S_Tot))</f>
        <v/>
      </c>
      <c r="D9" s="28" t="str">
        <f aca="false">IF(A9="","",SUMIF(S_Year,A9,S_Int))</f>
        <v/>
      </c>
      <c r="E9" s="28" t="str">
        <f aca="false">IF(A9="","",SUMIF(S_Year,A9,S_Prin)+SUMIF(S_Year,A9,S_Extra)+SUMIF(S_Year,A9,S_Lump))</f>
        <v/>
      </c>
      <c r="F9" s="47" t="str">
        <f aca="false">IF(A9="","",Loan-SUMIF(S_Year,"&lt;="&amp;A9,S_Prin)-SUMIF(S_Year,"&lt;="&amp;A9,S_Extra)-SUMIF(S_Year,"&lt;="&amp;A9,S_Lump))</f>
        <v/>
      </c>
      <c r="G9" s="48" t="str">
        <f aca="false">IF(OR(A9="",N(C9)=0),"",D9/C9)</f>
        <v/>
      </c>
    </row>
    <row r="10" customFormat="false" ht="15" hidden="false" customHeight="false" outlineLevel="0" collapsed="false">
      <c r="A10" s="45" t="str">
        <f aca="false">IF(A9="","",IF(A9+1&gt;MAX(S_Year),"",A9+1))</f>
        <v/>
      </c>
      <c r="B10" s="46" t="str">
        <f aca="false">IF(A10="","",COUNTIF(S_Year,A10))</f>
        <v/>
      </c>
      <c r="C10" s="28" t="str">
        <f aca="false">IF(A10="","",SUMIF(S_Year,A10,S_Tot))</f>
        <v/>
      </c>
      <c r="D10" s="28" t="str">
        <f aca="false">IF(A10="","",SUMIF(S_Year,A10,S_Int))</f>
        <v/>
      </c>
      <c r="E10" s="28" t="str">
        <f aca="false">IF(A10="","",SUMIF(S_Year,A10,S_Prin)+SUMIF(S_Year,A10,S_Extra)+SUMIF(S_Year,A10,S_Lump))</f>
        <v/>
      </c>
      <c r="F10" s="47" t="str">
        <f aca="false">IF(A10="","",Loan-SUMIF(S_Year,"&lt;="&amp;A10,S_Prin)-SUMIF(S_Year,"&lt;="&amp;A10,S_Extra)-SUMIF(S_Year,"&lt;="&amp;A10,S_Lump))</f>
        <v/>
      </c>
      <c r="G10" s="48" t="str">
        <f aca="false">IF(OR(A10="",N(C10)=0),"",D10/C10)</f>
        <v/>
      </c>
    </row>
    <row r="11" customFormat="false" ht="15" hidden="false" customHeight="false" outlineLevel="0" collapsed="false">
      <c r="A11" s="45" t="str">
        <f aca="false">IF(A10="","",IF(A10+1&gt;MAX(S_Year),"",A10+1))</f>
        <v/>
      </c>
      <c r="B11" s="46" t="str">
        <f aca="false">IF(A11="","",COUNTIF(S_Year,A11))</f>
        <v/>
      </c>
      <c r="C11" s="28" t="str">
        <f aca="false">IF(A11="","",SUMIF(S_Year,A11,S_Tot))</f>
        <v/>
      </c>
      <c r="D11" s="28" t="str">
        <f aca="false">IF(A11="","",SUMIF(S_Year,A11,S_Int))</f>
        <v/>
      </c>
      <c r="E11" s="28" t="str">
        <f aca="false">IF(A11="","",SUMIF(S_Year,A11,S_Prin)+SUMIF(S_Year,A11,S_Extra)+SUMIF(S_Year,A11,S_Lump))</f>
        <v/>
      </c>
      <c r="F11" s="47" t="str">
        <f aca="false">IF(A11="","",Loan-SUMIF(S_Year,"&lt;="&amp;A11,S_Prin)-SUMIF(S_Year,"&lt;="&amp;A11,S_Extra)-SUMIF(S_Year,"&lt;="&amp;A11,S_Lump))</f>
        <v/>
      </c>
      <c r="G11" s="48" t="str">
        <f aca="false">IF(OR(A11="",N(C11)=0),"",D11/C11)</f>
        <v/>
      </c>
    </row>
    <row r="12" customFormat="false" ht="15" hidden="false" customHeight="false" outlineLevel="0" collapsed="false">
      <c r="A12" s="45" t="str">
        <f aca="false">IF(A11="","",IF(A11+1&gt;MAX(S_Year),"",A11+1))</f>
        <v/>
      </c>
      <c r="B12" s="46" t="str">
        <f aca="false">IF(A12="","",COUNTIF(S_Year,A12))</f>
        <v/>
      </c>
      <c r="C12" s="28" t="str">
        <f aca="false">IF(A12="","",SUMIF(S_Year,A12,S_Tot))</f>
        <v/>
      </c>
      <c r="D12" s="28" t="str">
        <f aca="false">IF(A12="","",SUMIF(S_Year,A12,S_Int))</f>
        <v/>
      </c>
      <c r="E12" s="28" t="str">
        <f aca="false">IF(A12="","",SUMIF(S_Year,A12,S_Prin)+SUMIF(S_Year,A12,S_Extra)+SUMIF(S_Year,A12,S_Lump))</f>
        <v/>
      </c>
      <c r="F12" s="47" t="str">
        <f aca="false">IF(A12="","",Loan-SUMIF(S_Year,"&lt;="&amp;A12,S_Prin)-SUMIF(S_Year,"&lt;="&amp;A12,S_Extra)-SUMIF(S_Year,"&lt;="&amp;A12,S_Lump))</f>
        <v/>
      </c>
      <c r="G12" s="48" t="str">
        <f aca="false">IF(OR(A12="",N(C12)=0),"",D12/C12)</f>
        <v/>
      </c>
    </row>
    <row r="13" customFormat="false" ht="15" hidden="false" customHeight="false" outlineLevel="0" collapsed="false">
      <c r="A13" s="45" t="str">
        <f aca="false">IF(A12="","",IF(A12+1&gt;MAX(S_Year),"",A12+1))</f>
        <v/>
      </c>
      <c r="B13" s="46" t="str">
        <f aca="false">IF(A13="","",COUNTIF(S_Year,A13))</f>
        <v/>
      </c>
      <c r="C13" s="28" t="str">
        <f aca="false">IF(A13="","",SUMIF(S_Year,A13,S_Tot))</f>
        <v/>
      </c>
      <c r="D13" s="28" t="str">
        <f aca="false">IF(A13="","",SUMIF(S_Year,A13,S_Int))</f>
        <v/>
      </c>
      <c r="E13" s="28" t="str">
        <f aca="false">IF(A13="","",SUMIF(S_Year,A13,S_Prin)+SUMIF(S_Year,A13,S_Extra)+SUMIF(S_Year,A13,S_Lump))</f>
        <v/>
      </c>
      <c r="F13" s="47" t="str">
        <f aca="false">IF(A13="","",Loan-SUMIF(S_Year,"&lt;="&amp;A13,S_Prin)-SUMIF(S_Year,"&lt;="&amp;A13,S_Extra)-SUMIF(S_Year,"&lt;="&amp;A13,S_Lump))</f>
        <v/>
      </c>
      <c r="G13" s="48" t="str">
        <f aca="false">IF(OR(A13="",N(C13)=0),"",D13/C13)</f>
        <v/>
      </c>
    </row>
    <row r="14" customFormat="false" ht="15" hidden="false" customHeight="false" outlineLevel="0" collapsed="false">
      <c r="A14" s="45" t="str">
        <f aca="false">IF(A13="","",IF(A13+1&gt;MAX(S_Year),"",A13+1))</f>
        <v/>
      </c>
      <c r="B14" s="46" t="str">
        <f aca="false">IF(A14="","",COUNTIF(S_Year,A14))</f>
        <v/>
      </c>
      <c r="C14" s="28" t="str">
        <f aca="false">IF(A14="","",SUMIF(S_Year,A14,S_Tot))</f>
        <v/>
      </c>
      <c r="D14" s="28" t="str">
        <f aca="false">IF(A14="","",SUMIF(S_Year,A14,S_Int))</f>
        <v/>
      </c>
      <c r="E14" s="28" t="str">
        <f aca="false">IF(A14="","",SUMIF(S_Year,A14,S_Prin)+SUMIF(S_Year,A14,S_Extra)+SUMIF(S_Year,A14,S_Lump))</f>
        <v/>
      </c>
      <c r="F14" s="47" t="str">
        <f aca="false">IF(A14="","",Loan-SUMIF(S_Year,"&lt;="&amp;A14,S_Prin)-SUMIF(S_Year,"&lt;="&amp;A14,S_Extra)-SUMIF(S_Year,"&lt;="&amp;A14,S_Lump))</f>
        <v/>
      </c>
      <c r="G14" s="48" t="str">
        <f aca="false">IF(OR(A14="",N(C14)=0),"",D14/C14)</f>
        <v/>
      </c>
    </row>
    <row r="15" customFormat="false" ht="15" hidden="false" customHeight="false" outlineLevel="0" collapsed="false">
      <c r="A15" s="45" t="str">
        <f aca="false">IF(A14="","",IF(A14+1&gt;MAX(S_Year),"",A14+1))</f>
        <v/>
      </c>
      <c r="B15" s="46" t="str">
        <f aca="false">IF(A15="","",COUNTIF(S_Year,A15))</f>
        <v/>
      </c>
      <c r="C15" s="28" t="str">
        <f aca="false">IF(A15="","",SUMIF(S_Year,A15,S_Tot))</f>
        <v/>
      </c>
      <c r="D15" s="28" t="str">
        <f aca="false">IF(A15="","",SUMIF(S_Year,A15,S_Int))</f>
        <v/>
      </c>
      <c r="E15" s="28" t="str">
        <f aca="false">IF(A15="","",SUMIF(S_Year,A15,S_Prin)+SUMIF(S_Year,A15,S_Extra)+SUMIF(S_Year,A15,S_Lump))</f>
        <v/>
      </c>
      <c r="F15" s="47" t="str">
        <f aca="false">IF(A15="","",Loan-SUMIF(S_Year,"&lt;="&amp;A15,S_Prin)-SUMIF(S_Year,"&lt;="&amp;A15,S_Extra)-SUMIF(S_Year,"&lt;="&amp;A15,S_Lump))</f>
        <v/>
      </c>
      <c r="G15" s="48" t="str">
        <f aca="false">IF(OR(A15="",N(C15)=0),"",D15/C15)</f>
        <v/>
      </c>
    </row>
    <row r="16" customFormat="false" ht="15" hidden="false" customHeight="false" outlineLevel="0" collapsed="false">
      <c r="A16" s="45" t="str">
        <f aca="false">IF(A15="","",IF(A15+1&gt;MAX(S_Year),"",A15+1))</f>
        <v/>
      </c>
      <c r="B16" s="46" t="str">
        <f aca="false">IF(A16="","",COUNTIF(S_Year,A16))</f>
        <v/>
      </c>
      <c r="C16" s="28" t="str">
        <f aca="false">IF(A16="","",SUMIF(S_Year,A16,S_Tot))</f>
        <v/>
      </c>
      <c r="D16" s="28" t="str">
        <f aca="false">IF(A16="","",SUMIF(S_Year,A16,S_Int))</f>
        <v/>
      </c>
      <c r="E16" s="28" t="str">
        <f aca="false">IF(A16="","",SUMIF(S_Year,A16,S_Prin)+SUMIF(S_Year,A16,S_Extra)+SUMIF(S_Year,A16,S_Lump))</f>
        <v/>
      </c>
      <c r="F16" s="47" t="str">
        <f aca="false">IF(A16="","",Loan-SUMIF(S_Year,"&lt;="&amp;A16,S_Prin)-SUMIF(S_Year,"&lt;="&amp;A16,S_Extra)-SUMIF(S_Year,"&lt;="&amp;A16,S_Lump))</f>
        <v/>
      </c>
      <c r="G16" s="48" t="str">
        <f aca="false">IF(OR(A16="",N(C16)=0),"",D16/C16)</f>
        <v/>
      </c>
    </row>
    <row r="17" customFormat="false" ht="15" hidden="false" customHeight="false" outlineLevel="0" collapsed="false">
      <c r="A17" s="45" t="str">
        <f aca="false">IF(A16="","",IF(A16+1&gt;MAX(S_Year),"",A16+1))</f>
        <v/>
      </c>
      <c r="B17" s="46" t="str">
        <f aca="false">IF(A17="","",COUNTIF(S_Year,A17))</f>
        <v/>
      </c>
      <c r="C17" s="28" t="str">
        <f aca="false">IF(A17="","",SUMIF(S_Year,A17,S_Tot))</f>
        <v/>
      </c>
      <c r="D17" s="28" t="str">
        <f aca="false">IF(A17="","",SUMIF(S_Year,A17,S_Int))</f>
        <v/>
      </c>
      <c r="E17" s="28" t="str">
        <f aca="false">IF(A17="","",SUMIF(S_Year,A17,S_Prin)+SUMIF(S_Year,A17,S_Extra)+SUMIF(S_Year,A17,S_Lump))</f>
        <v/>
      </c>
      <c r="F17" s="47" t="str">
        <f aca="false">IF(A17="","",Loan-SUMIF(S_Year,"&lt;="&amp;A17,S_Prin)-SUMIF(S_Year,"&lt;="&amp;A17,S_Extra)-SUMIF(S_Year,"&lt;="&amp;A17,S_Lump))</f>
        <v/>
      </c>
      <c r="G17" s="48" t="str">
        <f aca="false">IF(OR(A17="",N(C17)=0),"",D17/C17)</f>
        <v/>
      </c>
    </row>
    <row r="18" customFormat="false" ht="15" hidden="false" customHeight="false" outlineLevel="0" collapsed="false">
      <c r="A18" s="45" t="str">
        <f aca="false">IF(A17="","",IF(A17+1&gt;MAX(S_Year),"",A17+1))</f>
        <v/>
      </c>
      <c r="B18" s="46" t="str">
        <f aca="false">IF(A18="","",COUNTIF(S_Year,A18))</f>
        <v/>
      </c>
      <c r="C18" s="28" t="str">
        <f aca="false">IF(A18="","",SUMIF(S_Year,A18,S_Tot))</f>
        <v/>
      </c>
      <c r="D18" s="28" t="str">
        <f aca="false">IF(A18="","",SUMIF(S_Year,A18,S_Int))</f>
        <v/>
      </c>
      <c r="E18" s="28" t="str">
        <f aca="false">IF(A18="","",SUMIF(S_Year,A18,S_Prin)+SUMIF(S_Year,A18,S_Extra)+SUMIF(S_Year,A18,S_Lump))</f>
        <v/>
      </c>
      <c r="F18" s="47" t="str">
        <f aca="false">IF(A18="","",Loan-SUMIF(S_Year,"&lt;="&amp;A18,S_Prin)-SUMIF(S_Year,"&lt;="&amp;A18,S_Extra)-SUMIF(S_Year,"&lt;="&amp;A18,S_Lump))</f>
        <v/>
      </c>
      <c r="G18" s="48" t="str">
        <f aca="false">IF(OR(A18="",N(C18)=0),"",D18/C18)</f>
        <v/>
      </c>
    </row>
    <row r="19" customFormat="false" ht="15" hidden="false" customHeight="false" outlineLevel="0" collapsed="false">
      <c r="A19" s="45" t="str">
        <f aca="false">IF(A18="","",IF(A18+1&gt;MAX(S_Year),"",A18+1))</f>
        <v/>
      </c>
      <c r="B19" s="46" t="str">
        <f aca="false">IF(A19="","",COUNTIF(S_Year,A19))</f>
        <v/>
      </c>
      <c r="C19" s="28" t="str">
        <f aca="false">IF(A19="","",SUMIF(S_Year,A19,S_Tot))</f>
        <v/>
      </c>
      <c r="D19" s="28" t="str">
        <f aca="false">IF(A19="","",SUMIF(S_Year,A19,S_Int))</f>
        <v/>
      </c>
      <c r="E19" s="28" t="str">
        <f aca="false">IF(A19="","",SUMIF(S_Year,A19,S_Prin)+SUMIF(S_Year,A19,S_Extra)+SUMIF(S_Year,A19,S_Lump))</f>
        <v/>
      </c>
      <c r="F19" s="47" t="str">
        <f aca="false">IF(A19="","",Loan-SUMIF(S_Year,"&lt;="&amp;A19,S_Prin)-SUMIF(S_Year,"&lt;="&amp;A19,S_Extra)-SUMIF(S_Year,"&lt;="&amp;A19,S_Lump))</f>
        <v/>
      </c>
      <c r="G19" s="48" t="str">
        <f aca="false">IF(OR(A19="",N(C19)=0),"",D19/C19)</f>
        <v/>
      </c>
    </row>
    <row r="20" customFormat="false" ht="15" hidden="false" customHeight="false" outlineLevel="0" collapsed="false">
      <c r="A20" s="45" t="str">
        <f aca="false">IF(A19="","",IF(A19+1&gt;MAX(S_Year),"",A19+1))</f>
        <v/>
      </c>
      <c r="B20" s="46" t="str">
        <f aca="false">IF(A20="","",COUNTIF(S_Year,A20))</f>
        <v/>
      </c>
      <c r="C20" s="28" t="str">
        <f aca="false">IF(A20="","",SUMIF(S_Year,A20,S_Tot))</f>
        <v/>
      </c>
      <c r="D20" s="28" t="str">
        <f aca="false">IF(A20="","",SUMIF(S_Year,A20,S_Int))</f>
        <v/>
      </c>
      <c r="E20" s="28" t="str">
        <f aca="false">IF(A20="","",SUMIF(S_Year,A20,S_Prin)+SUMIF(S_Year,A20,S_Extra)+SUMIF(S_Year,A20,S_Lump))</f>
        <v/>
      </c>
      <c r="F20" s="47" t="str">
        <f aca="false">IF(A20="","",Loan-SUMIF(S_Year,"&lt;="&amp;A20,S_Prin)-SUMIF(S_Year,"&lt;="&amp;A20,S_Extra)-SUMIF(S_Year,"&lt;="&amp;A20,S_Lump))</f>
        <v/>
      </c>
      <c r="G20" s="48" t="str">
        <f aca="false">IF(OR(A20="",N(C20)=0),"",D20/C20)</f>
        <v/>
      </c>
    </row>
    <row r="21" customFormat="false" ht="15" hidden="false" customHeight="false" outlineLevel="0" collapsed="false">
      <c r="A21" s="45" t="str">
        <f aca="false">IF(A20="","",IF(A20+1&gt;MAX(S_Year),"",A20+1))</f>
        <v/>
      </c>
      <c r="B21" s="46" t="str">
        <f aca="false">IF(A21="","",COUNTIF(S_Year,A21))</f>
        <v/>
      </c>
      <c r="C21" s="28" t="str">
        <f aca="false">IF(A21="","",SUMIF(S_Year,A21,S_Tot))</f>
        <v/>
      </c>
      <c r="D21" s="28" t="str">
        <f aca="false">IF(A21="","",SUMIF(S_Year,A21,S_Int))</f>
        <v/>
      </c>
      <c r="E21" s="28" t="str">
        <f aca="false">IF(A21="","",SUMIF(S_Year,A21,S_Prin)+SUMIF(S_Year,A21,S_Extra)+SUMIF(S_Year,A21,S_Lump))</f>
        <v/>
      </c>
      <c r="F21" s="47" t="str">
        <f aca="false">IF(A21="","",Loan-SUMIF(S_Year,"&lt;="&amp;A21,S_Prin)-SUMIF(S_Year,"&lt;="&amp;A21,S_Extra)-SUMIF(S_Year,"&lt;="&amp;A21,S_Lump))</f>
        <v/>
      </c>
      <c r="G21" s="48" t="str">
        <f aca="false">IF(OR(A21="",N(C21)=0),"",D21/C21)</f>
        <v/>
      </c>
    </row>
    <row r="22" customFormat="false" ht="15" hidden="false" customHeight="false" outlineLevel="0" collapsed="false">
      <c r="A22" s="45" t="str">
        <f aca="false">IF(A21="","",IF(A21+1&gt;MAX(S_Year),"",A21+1))</f>
        <v/>
      </c>
      <c r="B22" s="46" t="str">
        <f aca="false">IF(A22="","",COUNTIF(S_Year,A22))</f>
        <v/>
      </c>
      <c r="C22" s="28" t="str">
        <f aca="false">IF(A22="","",SUMIF(S_Year,A22,S_Tot))</f>
        <v/>
      </c>
      <c r="D22" s="28" t="str">
        <f aca="false">IF(A22="","",SUMIF(S_Year,A22,S_Int))</f>
        <v/>
      </c>
      <c r="E22" s="28" t="str">
        <f aca="false">IF(A22="","",SUMIF(S_Year,A22,S_Prin)+SUMIF(S_Year,A22,S_Extra)+SUMIF(S_Year,A22,S_Lump))</f>
        <v/>
      </c>
      <c r="F22" s="47" t="str">
        <f aca="false">IF(A22="","",Loan-SUMIF(S_Year,"&lt;="&amp;A22,S_Prin)-SUMIF(S_Year,"&lt;="&amp;A22,S_Extra)-SUMIF(S_Year,"&lt;="&amp;A22,S_Lump))</f>
        <v/>
      </c>
      <c r="G22" s="48" t="str">
        <f aca="false">IF(OR(A22="",N(C22)=0),"",D22/C22)</f>
        <v/>
      </c>
    </row>
    <row r="23" customFormat="false" ht="15" hidden="false" customHeight="false" outlineLevel="0" collapsed="false">
      <c r="A23" s="45" t="str">
        <f aca="false">IF(A22="","",IF(A22+1&gt;MAX(S_Year),"",A22+1))</f>
        <v/>
      </c>
      <c r="B23" s="46" t="str">
        <f aca="false">IF(A23="","",COUNTIF(S_Year,A23))</f>
        <v/>
      </c>
      <c r="C23" s="28" t="str">
        <f aca="false">IF(A23="","",SUMIF(S_Year,A23,S_Tot))</f>
        <v/>
      </c>
      <c r="D23" s="28" t="str">
        <f aca="false">IF(A23="","",SUMIF(S_Year,A23,S_Int))</f>
        <v/>
      </c>
      <c r="E23" s="28" t="str">
        <f aca="false">IF(A23="","",SUMIF(S_Year,A23,S_Prin)+SUMIF(S_Year,A23,S_Extra)+SUMIF(S_Year,A23,S_Lump))</f>
        <v/>
      </c>
      <c r="F23" s="47" t="str">
        <f aca="false">IF(A23="","",Loan-SUMIF(S_Year,"&lt;="&amp;A23,S_Prin)-SUMIF(S_Year,"&lt;="&amp;A23,S_Extra)-SUMIF(S_Year,"&lt;="&amp;A23,S_Lump))</f>
        <v/>
      </c>
      <c r="G23" s="48" t="str">
        <f aca="false">IF(OR(A23="",N(C23)=0),"",D23/C23)</f>
        <v/>
      </c>
    </row>
    <row r="24" customFormat="false" ht="15" hidden="false" customHeight="false" outlineLevel="0" collapsed="false">
      <c r="A24" s="45" t="str">
        <f aca="false">IF(A23="","",IF(A23+1&gt;MAX(S_Year),"",A23+1))</f>
        <v/>
      </c>
      <c r="B24" s="46" t="str">
        <f aca="false">IF(A24="","",COUNTIF(S_Year,A24))</f>
        <v/>
      </c>
      <c r="C24" s="28" t="str">
        <f aca="false">IF(A24="","",SUMIF(S_Year,A24,S_Tot))</f>
        <v/>
      </c>
      <c r="D24" s="28" t="str">
        <f aca="false">IF(A24="","",SUMIF(S_Year,A24,S_Int))</f>
        <v/>
      </c>
      <c r="E24" s="28" t="str">
        <f aca="false">IF(A24="","",SUMIF(S_Year,A24,S_Prin)+SUMIF(S_Year,A24,S_Extra)+SUMIF(S_Year,A24,S_Lump))</f>
        <v/>
      </c>
      <c r="F24" s="47" t="str">
        <f aca="false">IF(A24="","",Loan-SUMIF(S_Year,"&lt;="&amp;A24,S_Prin)-SUMIF(S_Year,"&lt;="&amp;A24,S_Extra)-SUMIF(S_Year,"&lt;="&amp;A24,S_Lump))</f>
        <v/>
      </c>
      <c r="G24" s="48" t="str">
        <f aca="false">IF(OR(A24="",N(C24)=0),"",D24/C24)</f>
        <v/>
      </c>
    </row>
    <row r="25" customFormat="false" ht="15" hidden="false" customHeight="false" outlineLevel="0" collapsed="false">
      <c r="A25" s="45" t="str">
        <f aca="false">IF(A24="","",IF(A24+1&gt;MAX(S_Year),"",A24+1))</f>
        <v/>
      </c>
      <c r="B25" s="46" t="str">
        <f aca="false">IF(A25="","",COUNTIF(S_Year,A25))</f>
        <v/>
      </c>
      <c r="C25" s="28" t="str">
        <f aca="false">IF(A25="","",SUMIF(S_Year,A25,S_Tot))</f>
        <v/>
      </c>
      <c r="D25" s="28" t="str">
        <f aca="false">IF(A25="","",SUMIF(S_Year,A25,S_Int))</f>
        <v/>
      </c>
      <c r="E25" s="28" t="str">
        <f aca="false">IF(A25="","",SUMIF(S_Year,A25,S_Prin)+SUMIF(S_Year,A25,S_Extra)+SUMIF(S_Year,A25,S_Lump))</f>
        <v/>
      </c>
      <c r="F25" s="47" t="str">
        <f aca="false">IF(A25="","",Loan-SUMIF(S_Year,"&lt;="&amp;A25,S_Prin)-SUMIF(S_Year,"&lt;="&amp;A25,S_Extra)-SUMIF(S_Year,"&lt;="&amp;A25,S_Lump))</f>
        <v/>
      </c>
      <c r="G25" s="48" t="str">
        <f aca="false">IF(OR(A25="",N(C25)=0),"",D25/C25)</f>
        <v/>
      </c>
    </row>
    <row r="26" customFormat="false" ht="15" hidden="false" customHeight="false" outlineLevel="0" collapsed="false">
      <c r="A26" s="45" t="str">
        <f aca="false">IF(A25="","",IF(A25+1&gt;MAX(S_Year),"",A25+1))</f>
        <v/>
      </c>
      <c r="B26" s="46" t="str">
        <f aca="false">IF(A26="","",COUNTIF(S_Year,A26))</f>
        <v/>
      </c>
      <c r="C26" s="28" t="str">
        <f aca="false">IF(A26="","",SUMIF(S_Year,A26,S_Tot))</f>
        <v/>
      </c>
      <c r="D26" s="28" t="str">
        <f aca="false">IF(A26="","",SUMIF(S_Year,A26,S_Int))</f>
        <v/>
      </c>
      <c r="E26" s="28" t="str">
        <f aca="false">IF(A26="","",SUMIF(S_Year,A26,S_Prin)+SUMIF(S_Year,A26,S_Extra)+SUMIF(S_Year,A26,S_Lump))</f>
        <v/>
      </c>
      <c r="F26" s="47" t="str">
        <f aca="false">IF(A26="","",Loan-SUMIF(S_Year,"&lt;="&amp;A26,S_Prin)-SUMIF(S_Year,"&lt;="&amp;A26,S_Extra)-SUMIF(S_Year,"&lt;="&amp;A26,S_Lump))</f>
        <v/>
      </c>
      <c r="G26" s="48" t="str">
        <f aca="false">IF(OR(A26="",N(C26)=0),"",D26/C26)</f>
        <v/>
      </c>
    </row>
    <row r="27" customFormat="false" ht="15" hidden="false" customHeight="false" outlineLevel="0" collapsed="false">
      <c r="A27" s="45" t="str">
        <f aca="false">IF(A26="","",IF(A26+1&gt;MAX(S_Year),"",A26+1))</f>
        <v/>
      </c>
      <c r="B27" s="46" t="str">
        <f aca="false">IF(A27="","",COUNTIF(S_Year,A27))</f>
        <v/>
      </c>
      <c r="C27" s="28" t="str">
        <f aca="false">IF(A27="","",SUMIF(S_Year,A27,S_Tot))</f>
        <v/>
      </c>
      <c r="D27" s="28" t="str">
        <f aca="false">IF(A27="","",SUMIF(S_Year,A27,S_Int))</f>
        <v/>
      </c>
      <c r="E27" s="28" t="str">
        <f aca="false">IF(A27="","",SUMIF(S_Year,A27,S_Prin)+SUMIF(S_Year,A27,S_Extra)+SUMIF(S_Year,A27,S_Lump))</f>
        <v/>
      </c>
      <c r="F27" s="47" t="str">
        <f aca="false">IF(A27="","",Loan-SUMIF(S_Year,"&lt;="&amp;A27,S_Prin)-SUMIF(S_Year,"&lt;="&amp;A27,S_Extra)-SUMIF(S_Year,"&lt;="&amp;A27,S_Lump))</f>
        <v/>
      </c>
      <c r="G27" s="48" t="str">
        <f aca="false">IF(OR(A27="",N(C27)=0),"",D27/C27)</f>
        <v/>
      </c>
    </row>
    <row r="28" customFormat="false" ht="15" hidden="false" customHeight="false" outlineLevel="0" collapsed="false">
      <c r="A28" s="45" t="str">
        <f aca="false">IF(A27="","",IF(A27+1&gt;MAX(S_Year),"",A27+1))</f>
        <v/>
      </c>
      <c r="B28" s="46" t="str">
        <f aca="false">IF(A28="","",COUNTIF(S_Year,A28))</f>
        <v/>
      </c>
      <c r="C28" s="28" t="str">
        <f aca="false">IF(A28="","",SUMIF(S_Year,A28,S_Tot))</f>
        <v/>
      </c>
      <c r="D28" s="28" t="str">
        <f aca="false">IF(A28="","",SUMIF(S_Year,A28,S_Int))</f>
        <v/>
      </c>
      <c r="E28" s="28" t="str">
        <f aca="false">IF(A28="","",SUMIF(S_Year,A28,S_Prin)+SUMIF(S_Year,A28,S_Extra)+SUMIF(S_Year,A28,S_Lump))</f>
        <v/>
      </c>
      <c r="F28" s="47" t="str">
        <f aca="false">IF(A28="","",Loan-SUMIF(S_Year,"&lt;="&amp;A28,S_Prin)-SUMIF(S_Year,"&lt;="&amp;A28,S_Extra)-SUMIF(S_Year,"&lt;="&amp;A28,S_Lump))</f>
        <v/>
      </c>
      <c r="G28" s="48" t="str">
        <f aca="false">IF(OR(A28="",N(C28)=0),"",D28/C28)</f>
        <v/>
      </c>
    </row>
    <row r="29" customFormat="false" ht="15" hidden="false" customHeight="false" outlineLevel="0" collapsed="false">
      <c r="A29" s="45" t="str">
        <f aca="false">IF(A28="","",IF(A28+1&gt;MAX(S_Year),"",A28+1))</f>
        <v/>
      </c>
      <c r="B29" s="46" t="str">
        <f aca="false">IF(A29="","",COUNTIF(S_Year,A29))</f>
        <v/>
      </c>
      <c r="C29" s="28" t="str">
        <f aca="false">IF(A29="","",SUMIF(S_Year,A29,S_Tot))</f>
        <v/>
      </c>
      <c r="D29" s="28" t="str">
        <f aca="false">IF(A29="","",SUMIF(S_Year,A29,S_Int))</f>
        <v/>
      </c>
      <c r="E29" s="28" t="str">
        <f aca="false">IF(A29="","",SUMIF(S_Year,A29,S_Prin)+SUMIF(S_Year,A29,S_Extra)+SUMIF(S_Year,A29,S_Lump))</f>
        <v/>
      </c>
      <c r="F29" s="47" t="str">
        <f aca="false">IF(A29="","",Loan-SUMIF(S_Year,"&lt;="&amp;A29,S_Prin)-SUMIF(S_Year,"&lt;="&amp;A29,S_Extra)-SUMIF(S_Year,"&lt;="&amp;A29,S_Lump))</f>
        <v/>
      </c>
      <c r="G29" s="48" t="str">
        <f aca="false">IF(OR(A29="",N(C29)=0),"",D29/C29)</f>
        <v/>
      </c>
    </row>
    <row r="30" customFormat="false" ht="15" hidden="false" customHeight="false" outlineLevel="0" collapsed="false">
      <c r="A30" s="45" t="str">
        <f aca="false">IF(A29="","",IF(A29+1&gt;MAX(S_Year),"",A29+1))</f>
        <v/>
      </c>
      <c r="B30" s="46" t="str">
        <f aca="false">IF(A30="","",COUNTIF(S_Year,A30))</f>
        <v/>
      </c>
      <c r="C30" s="28" t="str">
        <f aca="false">IF(A30="","",SUMIF(S_Year,A30,S_Tot))</f>
        <v/>
      </c>
      <c r="D30" s="28" t="str">
        <f aca="false">IF(A30="","",SUMIF(S_Year,A30,S_Int))</f>
        <v/>
      </c>
      <c r="E30" s="28" t="str">
        <f aca="false">IF(A30="","",SUMIF(S_Year,A30,S_Prin)+SUMIF(S_Year,A30,S_Extra)+SUMIF(S_Year,A30,S_Lump))</f>
        <v/>
      </c>
      <c r="F30" s="47" t="str">
        <f aca="false">IF(A30="","",Loan-SUMIF(S_Year,"&lt;="&amp;A30,S_Prin)-SUMIF(S_Year,"&lt;="&amp;A30,S_Extra)-SUMIF(S_Year,"&lt;="&amp;A30,S_Lump))</f>
        <v/>
      </c>
      <c r="G30" s="48" t="str">
        <f aca="false">IF(OR(A30="",N(C30)=0),"",D30/C30)</f>
        <v/>
      </c>
    </row>
    <row r="31" customFormat="false" ht="15" hidden="false" customHeight="false" outlineLevel="0" collapsed="false">
      <c r="A31" s="45" t="str">
        <f aca="false">IF(A30="","",IF(A30+1&gt;MAX(S_Year),"",A30+1))</f>
        <v/>
      </c>
      <c r="B31" s="46" t="str">
        <f aca="false">IF(A31="","",COUNTIF(S_Year,A31))</f>
        <v/>
      </c>
      <c r="C31" s="28" t="str">
        <f aca="false">IF(A31="","",SUMIF(S_Year,A31,S_Tot))</f>
        <v/>
      </c>
      <c r="D31" s="28" t="str">
        <f aca="false">IF(A31="","",SUMIF(S_Year,A31,S_Int))</f>
        <v/>
      </c>
      <c r="E31" s="28" t="str">
        <f aca="false">IF(A31="","",SUMIF(S_Year,A31,S_Prin)+SUMIF(S_Year,A31,S_Extra)+SUMIF(S_Year,A31,S_Lump))</f>
        <v/>
      </c>
      <c r="F31" s="47" t="str">
        <f aca="false">IF(A31="","",Loan-SUMIF(S_Year,"&lt;="&amp;A31,S_Prin)-SUMIF(S_Year,"&lt;="&amp;A31,S_Extra)-SUMIF(S_Year,"&lt;="&amp;A31,S_Lump))</f>
        <v/>
      </c>
      <c r="G31" s="48" t="str">
        <f aca="false">IF(OR(A31="",N(C31)=0),"",D31/C31)</f>
        <v/>
      </c>
    </row>
    <row r="32" customFormat="false" ht="15" hidden="false" customHeight="false" outlineLevel="0" collapsed="false">
      <c r="A32" s="45" t="str">
        <f aca="false">IF(A31="","",IF(A31+1&gt;MAX(S_Year),"",A31+1))</f>
        <v/>
      </c>
      <c r="B32" s="46" t="str">
        <f aca="false">IF(A32="","",COUNTIF(S_Year,A32))</f>
        <v/>
      </c>
      <c r="C32" s="28" t="str">
        <f aca="false">IF(A32="","",SUMIF(S_Year,A32,S_Tot))</f>
        <v/>
      </c>
      <c r="D32" s="28" t="str">
        <f aca="false">IF(A32="","",SUMIF(S_Year,A32,S_Int))</f>
        <v/>
      </c>
      <c r="E32" s="28" t="str">
        <f aca="false">IF(A32="","",SUMIF(S_Year,A32,S_Prin)+SUMIF(S_Year,A32,S_Extra)+SUMIF(S_Year,A32,S_Lump))</f>
        <v/>
      </c>
      <c r="F32" s="47" t="str">
        <f aca="false">IF(A32="","",Loan-SUMIF(S_Year,"&lt;="&amp;A32,S_Prin)-SUMIF(S_Year,"&lt;="&amp;A32,S_Extra)-SUMIF(S_Year,"&lt;="&amp;A32,S_Lump))</f>
        <v/>
      </c>
      <c r="G32" s="48" t="str">
        <f aca="false">IF(OR(A32="",N(C32)=0),"",D32/C32)</f>
        <v/>
      </c>
    </row>
    <row r="33" customFormat="false" ht="15" hidden="false" customHeight="false" outlineLevel="0" collapsed="false">
      <c r="A33" s="45" t="str">
        <f aca="false">IF(A32="","",IF(A32+1&gt;MAX(S_Year),"",A32+1))</f>
        <v/>
      </c>
      <c r="B33" s="46" t="str">
        <f aca="false">IF(A33="","",COUNTIF(S_Year,A33))</f>
        <v/>
      </c>
      <c r="C33" s="28" t="str">
        <f aca="false">IF(A33="","",SUMIF(S_Year,A33,S_Tot))</f>
        <v/>
      </c>
      <c r="D33" s="28" t="str">
        <f aca="false">IF(A33="","",SUMIF(S_Year,A33,S_Int))</f>
        <v/>
      </c>
      <c r="E33" s="28" t="str">
        <f aca="false">IF(A33="","",SUMIF(S_Year,A33,S_Prin)+SUMIF(S_Year,A33,S_Extra)+SUMIF(S_Year,A33,S_Lump))</f>
        <v/>
      </c>
      <c r="F33" s="47" t="str">
        <f aca="false">IF(A33="","",Loan-SUMIF(S_Year,"&lt;="&amp;A33,S_Prin)-SUMIF(S_Year,"&lt;="&amp;A33,S_Extra)-SUMIF(S_Year,"&lt;="&amp;A33,S_Lump))</f>
        <v/>
      </c>
      <c r="G33" s="48" t="str">
        <f aca="false">IF(OR(A33="",N(C33)=0),"",D33/C33)</f>
        <v/>
      </c>
    </row>
    <row r="34" customFormat="false" ht="15" hidden="false" customHeight="false" outlineLevel="0" collapsed="false">
      <c r="A34" s="45" t="str">
        <f aca="false">IF(A33="","",IF(A33+1&gt;MAX(S_Year),"",A33+1))</f>
        <v/>
      </c>
      <c r="B34" s="46" t="str">
        <f aca="false">IF(A34="","",COUNTIF(S_Year,A34))</f>
        <v/>
      </c>
      <c r="C34" s="28" t="str">
        <f aca="false">IF(A34="","",SUMIF(S_Year,A34,S_Tot))</f>
        <v/>
      </c>
      <c r="D34" s="28" t="str">
        <f aca="false">IF(A34="","",SUMIF(S_Year,A34,S_Int))</f>
        <v/>
      </c>
      <c r="E34" s="28" t="str">
        <f aca="false">IF(A34="","",SUMIF(S_Year,A34,S_Prin)+SUMIF(S_Year,A34,S_Extra)+SUMIF(S_Year,A34,S_Lump))</f>
        <v/>
      </c>
      <c r="F34" s="47" t="str">
        <f aca="false">IF(A34="","",Loan-SUMIF(S_Year,"&lt;="&amp;A34,S_Prin)-SUMIF(S_Year,"&lt;="&amp;A34,S_Extra)-SUMIF(S_Year,"&lt;="&amp;A34,S_Lump))</f>
        <v/>
      </c>
      <c r="G34" s="48" t="str">
        <f aca="false">IF(OR(A34="",N(C34)=0),"",D34/C34)</f>
        <v/>
      </c>
    </row>
    <row r="35" customFormat="false" ht="15" hidden="false" customHeight="false" outlineLevel="0" collapsed="false">
      <c r="A35" s="45" t="str">
        <f aca="false">IF(A34="","",IF(A34+1&gt;MAX(S_Year),"",A34+1))</f>
        <v/>
      </c>
      <c r="B35" s="46" t="str">
        <f aca="false">IF(A35="","",COUNTIF(S_Year,A35))</f>
        <v/>
      </c>
      <c r="C35" s="28" t="str">
        <f aca="false">IF(A35="","",SUMIF(S_Year,A35,S_Tot))</f>
        <v/>
      </c>
      <c r="D35" s="28" t="str">
        <f aca="false">IF(A35="","",SUMIF(S_Year,A35,S_Int))</f>
        <v/>
      </c>
      <c r="E35" s="28" t="str">
        <f aca="false">IF(A35="","",SUMIF(S_Year,A35,S_Prin)+SUMIF(S_Year,A35,S_Extra)+SUMIF(S_Year,A35,S_Lump))</f>
        <v/>
      </c>
      <c r="F35" s="47" t="str">
        <f aca="false">IF(A35="","",Loan-SUMIF(S_Year,"&lt;="&amp;A35,S_Prin)-SUMIF(S_Year,"&lt;="&amp;A35,S_Extra)-SUMIF(S_Year,"&lt;="&amp;A35,S_Lump))</f>
        <v/>
      </c>
      <c r="G35" s="48" t="str">
        <f aca="false">IF(OR(A35="",N(C35)=0),"",D35/C35)</f>
        <v/>
      </c>
    </row>
    <row r="37" customFormat="false" ht="15" hidden="false" customHeight="false" outlineLevel="0" collapsed="false">
      <c r="A37" s="49" t="s">
        <v>104</v>
      </c>
      <c r="B37" s="50" t="n">
        <f aca="false">SUM(B5:B35)</f>
        <v>33</v>
      </c>
      <c r="C37" s="51" t="n">
        <f aca="false">SUM(C5:C35)</f>
        <v>338688.83</v>
      </c>
      <c r="D37" s="51" t="n">
        <f aca="false">SUM(D5:D35)</f>
        <v>88688.83</v>
      </c>
      <c r="E37" s="51" t="n">
        <f aca="false">SUM(E5:E35)</f>
        <v>250000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false"/>
  </sheetPr>
  <dimension ref="B1:I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3"/>
    <col collapsed="false" customWidth="true" hidden="false" outlineLevel="0" max="5" min="5" style="0" width="22"/>
    <col collapsed="false" customWidth="true" hidden="false" outlineLevel="0" max="6" min="6" style="0" width="18"/>
    <col collapsed="false" customWidth="true" hidden="false" outlineLevel="0" max="7" min="7" style="0" width="3"/>
    <col collapsed="false" customWidth="true" hidden="false" outlineLevel="0" max="8" min="8" style="0" width="22"/>
    <col collapsed="false" customWidth="true" hidden="false" outlineLevel="0" max="9" min="9" style="0" width="18"/>
    <col collapsed="false" customWidth="true" hidden="false" outlineLevel="0" max="10" min="10" style="0" width="3"/>
  </cols>
  <sheetData>
    <row r="1" customFormat="false" ht="19.7" hidden="false" customHeight="false" outlineLevel="0" collapsed="false">
      <c r="B1" s="1" t="s">
        <v>105</v>
      </c>
    </row>
    <row r="2" customFormat="false" ht="15" hidden="false" customHeight="false" outlineLevel="0" collapsed="false">
      <c r="B2" s="52" t="str">
        <f aca="false">Borrower&amp;"   |   Lender: "&amp;Lender</f>
        <v>[Business name]   |   Lender: [Bank / lender name]</v>
      </c>
    </row>
    <row r="3" customFormat="false" ht="15" hidden="false" customHeight="false" outlineLevel="0" collapsed="false">
      <c r="B3" s="53" t="str">
        <f aca="false">Cur&amp;" "&amp;TEXT(Loan,"#,##0")&amp;" at "&amp;TEXT(Rate,"0.00%")&amp;" p.a.   |   "&amp;Term&amp;" years   |   "&amp;Freq&amp;" payments   |   "&amp;Method</f>
        <v>GHS 250,000 at 22.00% p.a.   |   3 years   |   Monthly payments   |   Equal instalments (annuity)</v>
      </c>
    </row>
    <row r="5" customFormat="false" ht="25.5" hidden="false" customHeight="true" outlineLevel="0" collapsed="false">
      <c r="B5" s="54" t="s">
        <v>106</v>
      </c>
      <c r="C5" s="54"/>
      <c r="E5" s="54" t="s">
        <v>107</v>
      </c>
      <c r="F5" s="54"/>
      <c r="H5" s="54" t="s">
        <v>108</v>
      </c>
      <c r="I5" s="54"/>
    </row>
    <row r="6" customFormat="false" ht="31.5" hidden="false" customHeight="true" outlineLevel="0" collapsed="false">
      <c r="B6" s="55" t="n">
        <f aca="false">IFERROR(INDEX(S_Pay,Grace+1),0)</f>
        <v>10164.28</v>
      </c>
      <c r="C6" s="55"/>
      <c r="E6" s="55" t="n">
        <f aca="false">IF(Grace=0,0,INDEX(S_Pay,1))</f>
        <v>4583.33</v>
      </c>
      <c r="F6" s="55"/>
      <c r="H6" s="56" t="n">
        <f aca="false">COUNT(S_N)</f>
        <v>33</v>
      </c>
      <c r="I6" s="56"/>
    </row>
    <row r="8" customFormat="false" ht="25.5" hidden="false" customHeight="true" outlineLevel="0" collapsed="false">
      <c r="B8" s="54" t="s">
        <v>109</v>
      </c>
      <c r="C8" s="54"/>
      <c r="E8" s="54" t="s">
        <v>110</v>
      </c>
      <c r="F8" s="54"/>
      <c r="H8" s="54" t="s">
        <v>111</v>
      </c>
      <c r="I8" s="54"/>
    </row>
    <row r="9" customFormat="false" ht="31.5" hidden="false" customHeight="true" outlineLevel="0" collapsed="false">
      <c r="B9" s="55" t="n">
        <f aca="false">SUM(S_Int)</f>
        <v>88688.83</v>
      </c>
      <c r="C9" s="55"/>
      <c r="E9" s="55" t="n">
        <f aca="false">SUM(S_Tot)</f>
        <v>338688.83</v>
      </c>
      <c r="F9" s="55"/>
      <c r="H9" s="57" t="n">
        <f aca="false">MAX(S_Date)</f>
        <v>47360</v>
      </c>
      <c r="I9" s="57"/>
    </row>
    <row r="11" customFormat="false" ht="25.5" hidden="false" customHeight="true" outlineLevel="0" collapsed="false">
      <c r="B11" s="54" t="s">
        <v>112</v>
      </c>
      <c r="C11" s="54"/>
      <c r="E11" s="54" t="s">
        <v>113</v>
      </c>
      <c r="F11" s="54"/>
      <c r="H11" s="54" t="s">
        <v>114</v>
      </c>
      <c r="I11" s="54"/>
    </row>
    <row r="12" customFormat="false" ht="31.5" hidden="false" customHeight="true" outlineLevel="0" collapsed="false">
      <c r="B12" s="55" t="n">
        <f aca="false">Fees</f>
        <v>6500</v>
      </c>
      <c r="C12" s="55"/>
      <c r="E12" s="55" t="n">
        <f aca="false">B9+B12</f>
        <v>95188.83</v>
      </c>
      <c r="F12" s="55"/>
      <c r="H12" s="58" t="n">
        <f aca="false">IFERROR((1+IRR(S_CF,RP))^PPY-1,0)</f>
        <v>0.268396922921173</v>
      </c>
      <c r="I12" s="58"/>
    </row>
    <row r="14" customFormat="false" ht="25.5" hidden="false" customHeight="true" outlineLevel="0" collapsed="false">
      <c r="B14" s="54" t="s">
        <v>115</v>
      </c>
      <c r="C14" s="54"/>
      <c r="E14" s="54" t="s">
        <v>116</v>
      </c>
      <c r="F14" s="54"/>
      <c r="H14" s="54" t="s">
        <v>117</v>
      </c>
      <c r="I14" s="54"/>
    </row>
    <row r="15" customFormat="false" ht="31.5" hidden="false" customHeight="true" outlineLevel="0" collapsed="false">
      <c r="B15" s="55" t="n">
        <f aca="false">MAX(0,SUM(S_BInt)-B9)</f>
        <v>10482.48</v>
      </c>
      <c r="C15" s="55"/>
      <c r="E15" s="56" t="n">
        <f aca="false">MAX(0,COUNTIF(Schedule!$Q$8:$Q$367,"&gt;0")-H6)</f>
        <v>3</v>
      </c>
      <c r="F15" s="56"/>
      <c r="H15" s="59" t="n">
        <f aca="false">IFERROR(B9/Loan,0)</f>
        <v>0.35475532</v>
      </c>
      <c r="I15" s="59"/>
    </row>
    <row r="17" customFormat="false" ht="15" hidden="false" customHeight="false" outlineLevel="0" collapsed="false">
      <c r="B17" s="31" t="s">
        <v>118</v>
      </c>
      <c r="F17" s="60" t="str">
        <f aca="false">IF(ABS(SUM(S_Prin)+SUM(S_Extra)+SUM(S_Lump)-Loan)&lt;0.05,"OK","Check inputs")</f>
        <v>OK</v>
      </c>
    </row>
    <row r="53" customFormat="false" ht="15" hidden="false" customHeight="false" outlineLevel="0" collapsed="false">
      <c r="B53" s="32" t="s">
        <v>119</v>
      </c>
    </row>
  </sheetData>
  <mergeCells count="24">
    <mergeCell ref="B5:C5"/>
    <mergeCell ref="E5:F5"/>
    <mergeCell ref="H5:I5"/>
    <mergeCell ref="B6:C6"/>
    <mergeCell ref="E6:F6"/>
    <mergeCell ref="H6:I6"/>
    <mergeCell ref="B8:C8"/>
    <mergeCell ref="E8:F8"/>
    <mergeCell ref="H8:I8"/>
    <mergeCell ref="B9:C9"/>
    <mergeCell ref="E9:F9"/>
    <mergeCell ref="H9:I9"/>
    <mergeCell ref="B11:C11"/>
    <mergeCell ref="E11:F11"/>
    <mergeCell ref="H11:I11"/>
    <mergeCell ref="B12:C12"/>
    <mergeCell ref="E12:F12"/>
    <mergeCell ref="H12:I12"/>
    <mergeCell ref="B14:C14"/>
    <mergeCell ref="E14:F14"/>
    <mergeCell ref="H14:I14"/>
    <mergeCell ref="B15:C15"/>
    <mergeCell ref="E15:F15"/>
    <mergeCell ref="H15:I15"/>
  </mergeCells>
  <conditionalFormatting sqref="F17">
    <cfRule type="expression" priority="2" aboveAverage="0" equalAverage="0" bottom="0" percent="0" rank="0" text="" dxfId="2">
      <formula>$F$17="OK"</formula>
    </cfRule>
    <cfRule type="expression" priority="3" aboveAverage="0" equalAverage="0" bottom="0" percent="0" rank="0" text="" dxfId="3">
      <formula>$F$17&lt;&gt;"OK"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fals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18"/>
  </cols>
  <sheetData>
    <row r="1" customFormat="false" ht="17.35" hidden="false" customHeight="false" outlineLevel="0" collapsed="false">
      <c r="A1" s="10" t="s">
        <v>120</v>
      </c>
    </row>
    <row r="2" customFormat="false" ht="15" hidden="false" customHeight="false" outlineLevel="0" collapsed="false">
      <c r="A2" s="11" t="s">
        <v>121</v>
      </c>
    </row>
    <row r="4" customFormat="false" ht="15" hidden="false" customHeight="false" outlineLevel="0" collapsed="false">
      <c r="A4" s="12" t="s">
        <v>122</v>
      </c>
      <c r="B4" s="33" t="s">
        <v>123</v>
      </c>
      <c r="C4" s="33" t="s">
        <v>124</v>
      </c>
      <c r="D4" s="33" t="s">
        <v>125</v>
      </c>
      <c r="E4" s="33" t="s">
        <v>126</v>
      </c>
    </row>
    <row r="5" customFormat="false" ht="15" hidden="false" customHeight="false" outlineLevel="0" collapsed="false">
      <c r="A5" s="7" t="s">
        <v>35</v>
      </c>
      <c r="B5" s="61" t="str">
        <f aca="false">Lender</f>
        <v>[Bank / lender name]</v>
      </c>
      <c r="C5" s="62" t="s">
        <v>127</v>
      </c>
      <c r="D5" s="62" t="s">
        <v>128</v>
      </c>
      <c r="E5" s="62" t="s">
        <v>129</v>
      </c>
    </row>
    <row r="6" customFormat="false" ht="15" hidden="false" customHeight="false" outlineLevel="0" collapsed="false">
      <c r="A6" s="7" t="s">
        <v>41</v>
      </c>
      <c r="B6" s="63" t="n">
        <f aca="false">Loan</f>
        <v>250000</v>
      </c>
      <c r="C6" s="64" t="n">
        <v>250000</v>
      </c>
      <c r="D6" s="64" t="n">
        <v>250000</v>
      </c>
      <c r="E6" s="64"/>
    </row>
    <row r="7" customFormat="false" ht="15" hidden="false" customHeight="false" outlineLevel="0" collapsed="false">
      <c r="A7" s="7" t="s">
        <v>130</v>
      </c>
      <c r="B7" s="65" t="n">
        <f aca="false">Rate</f>
        <v>0.22</v>
      </c>
      <c r="C7" s="66" t="n">
        <v>0.205</v>
      </c>
      <c r="D7" s="66" t="n">
        <v>0.26</v>
      </c>
      <c r="E7" s="66"/>
    </row>
    <row r="8" customFormat="false" ht="15" hidden="false" customHeight="false" outlineLevel="0" collapsed="false">
      <c r="A8" s="7" t="s">
        <v>131</v>
      </c>
      <c r="B8" s="67" t="n">
        <f aca="false">Term</f>
        <v>3</v>
      </c>
      <c r="C8" s="68" t="n">
        <v>3</v>
      </c>
      <c r="D8" s="68" t="n">
        <v>2</v>
      </c>
      <c r="E8" s="68"/>
    </row>
    <row r="9" customFormat="false" ht="15" hidden="false" customHeight="false" outlineLevel="0" collapsed="false">
      <c r="A9" s="7" t="s">
        <v>64</v>
      </c>
      <c r="B9" s="69" t="n">
        <f aca="false">PPY</f>
        <v>12</v>
      </c>
      <c r="C9" s="30" t="n">
        <v>12</v>
      </c>
      <c r="D9" s="30" t="n">
        <v>12</v>
      </c>
      <c r="E9" s="30"/>
    </row>
    <row r="10" customFormat="false" ht="15" hidden="false" customHeight="false" outlineLevel="0" collapsed="false">
      <c r="A10" s="7" t="s">
        <v>132</v>
      </c>
      <c r="B10" s="65" t="n">
        <f aca="false">FeePct</f>
        <v>0.02</v>
      </c>
      <c r="C10" s="66" t="n">
        <v>0.03</v>
      </c>
      <c r="D10" s="66" t="n">
        <v>0.01</v>
      </c>
      <c r="E10" s="66"/>
    </row>
    <row r="11" customFormat="false" ht="15" hidden="false" customHeight="false" outlineLevel="0" collapsed="false">
      <c r="A11" s="7" t="s">
        <v>133</v>
      </c>
      <c r="B11" s="63" t="n">
        <f aca="false">OtherFees</f>
        <v>1500</v>
      </c>
      <c r="C11" s="64" t="n">
        <v>2000</v>
      </c>
      <c r="D11" s="64" t="n">
        <v>0</v>
      </c>
      <c r="E11" s="64"/>
    </row>
    <row r="13" customFormat="false" ht="15" hidden="false" customHeight="false" outlineLevel="0" collapsed="false">
      <c r="A13" s="70" t="s">
        <v>134</v>
      </c>
    </row>
    <row r="14" customFormat="false" ht="15" hidden="false" customHeight="false" outlineLevel="0" collapsed="false">
      <c r="A14" s="7" t="s">
        <v>135</v>
      </c>
      <c r="B14" s="71" t="n">
        <f aca="false">IF(N(B6)=0,"",IF(B7=0,B6/(B8*B9),PMT(B7/B9,B8*B9,-B6)))</f>
        <v>9547.61329452737</v>
      </c>
      <c r="C14" s="71" t="n">
        <f aca="false">IF(N(C6)=0,"",IF(C7=0,C6/(C8*C9),PMT(C7/C9,C8*C9,-C6)))</f>
        <v>9354.70910705394</v>
      </c>
      <c r="D14" s="71" t="n">
        <f aca="false">IF(N(D6)=0,"",IF(D7=0,D6/(D8*D9),PMT(D7/D9,D8*D9,-D6)))</f>
        <v>13468.641741265</v>
      </c>
      <c r="E14" s="71" t="str">
        <f aca="false">IF(N(E6)=0,"",IF(E7=0,E6/(E8*E9),PMT(E7/E9,E8*E9,-E6)))</f>
        <v/>
      </c>
    </row>
    <row r="15" customFormat="false" ht="15" hidden="false" customHeight="false" outlineLevel="0" collapsed="false">
      <c r="A15" s="7" t="s">
        <v>108</v>
      </c>
      <c r="B15" s="46" t="n">
        <f aca="false">IF(N(B6)=0,"",B8*B9)</f>
        <v>36</v>
      </c>
      <c r="C15" s="46" t="n">
        <f aca="false">IF(N(C6)=0,"",C8*C9)</f>
        <v>36</v>
      </c>
      <c r="D15" s="46" t="n">
        <f aca="false">IF(N(D6)=0,"",D8*D9)</f>
        <v>24</v>
      </c>
      <c r="E15" s="46" t="str">
        <f aca="false">IF(N(E6)=0,"",E8*E9)</f>
        <v/>
      </c>
    </row>
    <row r="16" customFormat="false" ht="15" hidden="false" customHeight="false" outlineLevel="0" collapsed="false">
      <c r="A16" s="7" t="s">
        <v>136</v>
      </c>
      <c r="B16" s="71" t="n">
        <f aca="false">IF(N(B6)=0,"",B14*B15)</f>
        <v>343714.078602985</v>
      </c>
      <c r="C16" s="71" t="n">
        <f aca="false">IF(N(C6)=0,"",C14*C15)</f>
        <v>336769.527853942</v>
      </c>
      <c r="D16" s="71" t="n">
        <f aca="false">IF(N(D6)=0,"",D14*D15)</f>
        <v>323247.401790361</v>
      </c>
      <c r="E16" s="71" t="str">
        <f aca="false">IF(N(E6)=0,"",E14*E15)</f>
        <v/>
      </c>
    </row>
    <row r="17" customFormat="false" ht="15" hidden="false" customHeight="false" outlineLevel="0" collapsed="false">
      <c r="A17" s="7" t="s">
        <v>109</v>
      </c>
      <c r="B17" s="71" t="n">
        <f aca="false">IF(N(B6)=0,"",B16-B6)</f>
        <v>93714.0786029854</v>
      </c>
      <c r="C17" s="71" t="n">
        <f aca="false">IF(N(C6)=0,"",C16-C6)</f>
        <v>86769.5278539417</v>
      </c>
      <c r="D17" s="71" t="n">
        <f aca="false">IF(N(D6)=0,"",D16-D6)</f>
        <v>73247.401790361</v>
      </c>
      <c r="E17" s="71" t="str">
        <f aca="false">IF(N(E6)=0,"",E16-E6)</f>
        <v/>
      </c>
    </row>
    <row r="18" customFormat="false" ht="15" hidden="false" customHeight="false" outlineLevel="0" collapsed="false">
      <c r="A18" s="7" t="s">
        <v>137</v>
      </c>
      <c r="B18" s="71" t="n">
        <f aca="false">IF(N(B6)=0,"",B6*B10+B11)</f>
        <v>6500</v>
      </c>
      <c r="C18" s="71" t="n">
        <f aca="false">IF(N(C6)=0,"",C6*C10+C11)</f>
        <v>9500</v>
      </c>
      <c r="D18" s="71" t="n">
        <f aca="false">IF(N(D6)=0,"",D6*D10+D11)</f>
        <v>2500</v>
      </c>
      <c r="E18" s="71" t="str">
        <f aca="false">IF(N(E6)=0,"",E6*E10+E11)</f>
        <v/>
      </c>
    </row>
    <row r="19" customFormat="false" ht="15" hidden="false" customHeight="false" outlineLevel="0" collapsed="false">
      <c r="A19" s="72" t="s">
        <v>138</v>
      </c>
      <c r="B19" s="73" t="n">
        <f aca="false">IF(N(B6)=0,"",B17+B18)</f>
        <v>100214.078602985</v>
      </c>
      <c r="C19" s="73" t="n">
        <f aca="false">IF(N(C6)=0,"",C17+C18)</f>
        <v>96269.5278539417</v>
      </c>
      <c r="D19" s="73" t="n">
        <f aca="false">IF(N(D6)=0,"",D17+D18)</f>
        <v>75747.401790361</v>
      </c>
      <c r="E19" s="73" t="str">
        <f aca="false">IF(N(E6)=0,"",E17+E18)</f>
        <v/>
      </c>
    </row>
    <row r="20" customFormat="false" ht="15" hidden="false" customHeight="false" outlineLevel="0" collapsed="false">
      <c r="A20" s="72" t="s">
        <v>114</v>
      </c>
      <c r="B20" s="74" t="n">
        <f aca="false">IF(N(B6)=0,"",IFERROR((1+RATE(B15,-B14,B6-B18))^B9-1,""))</f>
        <v>0.267698535402146</v>
      </c>
      <c r="C20" s="74" t="n">
        <f aca="false">IF(N(C6)=0,"",IFERROR((1+RATE(C15,-C14,C6-C18))^C9-1,""))</f>
        <v>0.260290828968465</v>
      </c>
      <c r="D20" s="74" t="n">
        <f aca="false">IF(N(D6)=0,"",IFERROR((1+RATE(D15,-D14,D6-D18))^D9-1,""))</f>
        <v>0.307020789415188</v>
      </c>
      <c r="E20" s="74" t="str">
        <f aca="false">IF(N(E6)=0,"",IFERROR((1+RATE(E15,-E14,E6-E18))^E9-1,""))</f>
        <v/>
      </c>
    </row>
    <row r="21" customFormat="false" ht="15" hidden="false" customHeight="false" outlineLevel="0" collapsed="false">
      <c r="A21" s="7" t="s">
        <v>139</v>
      </c>
      <c r="B21" s="45" t="n">
        <f aca="false">IF(ISNUMBER(B20),RANK(B20,$B$20:$E$20,1),"")</f>
        <v>2</v>
      </c>
      <c r="C21" s="45" t="n">
        <f aca="false">IF(ISNUMBER(C20),RANK(C20,$B$20:$E$20,1),"")</f>
        <v>1</v>
      </c>
      <c r="D21" s="45" t="n">
        <f aca="false">IF(ISNUMBER(D20),RANK(D20,$B$20:$E$20,1),"")</f>
        <v>3</v>
      </c>
      <c r="E21" s="45" t="str">
        <f aca="false">IF(ISNUMBER(E20),RANK(E20,$B$20:$E$20,1),"")</f>
        <v/>
      </c>
    </row>
    <row r="23" customFormat="false" ht="15" hidden="false" customHeight="false" outlineLevel="0" collapsed="false">
      <c r="A23" s="29" t="s">
        <v>140</v>
      </c>
    </row>
  </sheetData>
  <conditionalFormatting sqref="B21:E21">
    <cfRule type="cellIs" priority="2" operator="equal" aboveAverage="0" equalAverage="0" bottom="0" percent="0" rank="0" text="" dxfId="2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2026-10-29T15:38:37Z</dcterms:created>
  <dc:creator>openpyxl</dc:creator>
  <dc:description/>
  <dc:language>en-US</dc:language>
  <cp:lastModifiedBy/>
  <dcterms:modified xsi:type="dcterms:W3CDTF">2026-10-29T15:38:39Z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