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Instructions" sheetId="1" state="visible" r:id="rId3"/>
    <sheet name="Inputs" sheetId="2" state="visible" r:id="rId4"/>
    <sheet name="Cash Flow Model" sheetId="3" state="visible" r:id="rId5"/>
    <sheet name="Results" sheetId="4" state="visible" r:id="rId6"/>
    <sheet name="Sensitivity" sheetId="5" state="visible" r:id="rId7"/>
    <sheet name="Compare Options" sheetId="6" state="visible" r:id="rId8"/>
    <sheet name="Summary" sheetId="7" state="visible" r:id="rId9"/>
  </sheets>
  <definedNames>
    <definedName function="false" hidden="false" name="Capex0" vbProcedure="false">Inputs!$B$15</definedName>
    <definedName function="false" hidden="false" name="Capex1" vbProcedure="false">Inputs!$B$16</definedName>
    <definedName function="false" hidden="false" name="Cur" vbProcedure="false">Inputs!$B$6</definedName>
    <definedName function="false" hidden="false" name="Decision" vbProcedure="false">Results!$B$21</definedName>
    <definedName function="false" hidden="false" name="DPB" vbProcedure="false">Results!$B$12</definedName>
    <definedName function="false" hidden="false" name="EqIRR" vbProcedure="false">Results!$B$17</definedName>
    <definedName function="false" hidden="false" name="EqNPV" vbProcedure="false">Results!$B$16</definedName>
    <definedName function="false" hidden="false" name="FC" vbProcedure="false">Inputs!$B$30</definedName>
    <definedName function="false" hidden="false" name="FCG" vbProcedure="false">Inputs!$B$31</definedName>
    <definedName function="false" hidden="false" name="IRRv" vbProcedure="false">Results!$B$8</definedName>
    <definedName function="false" hidden="false" name="Ke" vbProcedure="false">Inputs!$B$10</definedName>
    <definedName function="false" hidden="false" name="Life" vbProcedure="false">Inputs!$B$17</definedName>
    <definedName function="false" hidden="false" name="Loan" vbProcedure="false">Inputs!$B$34</definedName>
    <definedName function="false" hidden="false" name="LoanR" vbProcedure="false">Inputs!$B$35</definedName>
    <definedName function="false" hidden="false" name="MinDSCR" vbProcedure="false">Results!$B$18</definedName>
    <definedName function="false" hidden="false" name="MIRRv" vbProcedure="false">Results!$B$9</definedName>
    <definedName function="false" hidden="false" name="N" vbProcedure="false">Inputs!$B$8</definedName>
    <definedName function="false" hidden="false" name="NPVv" vbProcedure="false">Results!$B$7</definedName>
    <definedName function="false" hidden="false" name="PB" vbProcedure="false">Results!$B$11</definedName>
    <definedName function="false" hidden="false" name="PIv" vbProcedure="false">Results!$B$10</definedName>
    <definedName function="false" hidden="false" name="Price" vbProcedure="false">Inputs!$B$24</definedName>
    <definedName function="false" hidden="false" name="PriceG" vbProcedure="false">Inputs!$B$25</definedName>
    <definedName function="false" hidden="false" name="ProjName" vbProcedure="false">Inputs!$B$5</definedName>
    <definedName function="false" hidden="false" name="Ramp" vbProcedure="false">Inputs!$D$40:$M$40</definedName>
    <definedName function="false" hidden="false" name="Reinv" vbProcedure="false">Inputs!$B$11</definedName>
    <definedName function="false" hidden="false" name="R_capex" vbProcedure="false">'Cash Flow Model'!$C$22:$M$22</definedName>
    <definedName function="false" hidden="false" name="R_cumpv" vbProcedure="false">'Cash Flow Model'!$C$32:$M$32</definedName>
    <definedName function="false" hidden="false" name="R_dep" vbProcedure="false">'Cash Flow Model'!$C$16:$M$16</definedName>
    <definedName function="false" hidden="false" name="R_df" vbProcedure="false">'Cash Flow Model'!$C$30:$M$30</definedName>
    <definedName function="false" hidden="false" name="R_dwc" vbProcedure="false">'Cash Flow Model'!$C$24:$M$24</definedName>
    <definedName function="false" hidden="false" name="R_ebitda" vbProcedure="false">'Cash Flow Model'!$C$14:$M$14</definedName>
    <definedName function="false" hidden="false" name="R_eqcf" vbProcedure="false">'Cash Flow Model'!$C$42:$M$42</definedName>
    <definedName function="false" hidden="false" name="R_fc" vbProcedure="false">'Cash Flow Model'!$C$13:$M$13</definedName>
    <definedName function="false" hidden="false" name="R_fcf" vbProcedure="false">'Cash Flow Model'!$C$28:$M$28</definedName>
    <definedName function="false" hidden="false" name="R_rev" vbProcedure="false">'Cash Flow Model'!$C$11:$M$11</definedName>
    <definedName function="false" hidden="false" name="R_salv" vbProcedure="false">'Cash Flow Model'!$C$25:$M$25</definedName>
    <definedName function="false" hidden="false" name="R_vc" vbProcedure="false">'Cash Flow Model'!$C$12:$M$12</definedName>
    <definedName function="false" hidden="false" name="Salvage" vbProcedure="false">Inputs!$B$18</definedName>
    <definedName function="false" hidden="false" name="Tax" vbProcedure="false">Inputs!$B$12</definedName>
    <definedName function="false" hidden="false" name="Tenor" vbProcedure="false">Inputs!$B$36</definedName>
    <definedName function="false" hidden="false" name="VC" vbProcedure="false">Inputs!$B$28</definedName>
    <definedName function="false" hidden="false" name="VCG" vbProcedure="false">Inputs!$B$29</definedName>
    <definedName function="false" hidden="false" name="Vol" vbProcedure="false">Inputs!$B$22</definedName>
    <definedName function="false" hidden="false" name="VolG" vbProcedure="false">Inputs!$B$23</definedName>
    <definedName function="false" hidden="false" name="WACC" vbProcedure="false">Inputs!$B$9</definedName>
    <definedName function="false" hidden="false" name="WCpct" vbProcedure="false">Inputs!$B$19</definedName>
    <definedName function="false" hidden="false" name="Year0" vbProcedure="false">Inputs!$B$7</definedName>
    <definedName function="false" hidden="false" name="YrRow" vbProcedure="false">'Cash Flow Model'!$C$4:$M$4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8" authorId="0">
      <text>
        <r>
          <rPr>
            <sz val="10"/>
            <rFont val="Arial"/>
            <family val="2"/>
          </rPr>
          <t xml:space="preserve">Simplified: tax = rate × positive EBIT; no loss carry-forward. Interest tax shield is reflected in the equity cash flow.</t>
        </r>
      </text>
    </comment>
  </commentList>
</comments>
</file>

<file path=xl/sharedStrings.xml><?xml version="1.0" encoding="utf-8"?>
<sst xmlns="http://schemas.openxmlformats.org/spreadsheetml/2006/main" count="210" uniqueCount="202">
  <si>
    <t xml:space="preserve">INVESTMENT APPRAISAL AND NPV / IRR CALCULATOR</t>
  </si>
  <si>
    <t xml:space="preserve">Evaluates the financial viability of an investment from both project and equity perspectives.</t>
  </si>
  <si>
    <t xml:space="preserve">1. Inputs</t>
  </si>
  <si>
    <t xml:space="preserve">Enter project details, WACC, cost of equity, tax rate, capital expenditure, depreciation life, salvage value, working capital, volumes, prices, costs, loan terms and capacity ramp-up. Yellow cells are the main value drivers.</t>
  </si>
  <si>
    <t xml:space="preserve">2. Cash Flow Model</t>
  </si>
  <si>
    <t xml:space="preserve">Builds the annual projection automatically: revenue, costs, EBITDA, depreciation, tax, NOPAT, capex, working capital, free cash flow, loan schedule, DSCR and equity cash flow. No input needed.</t>
  </si>
  <si>
    <t xml:space="preserve">3. Results</t>
  </si>
  <si>
    <t xml:space="preserve">NPV, IRR, MIRR, profitability index, simple and discounted payback, equity NPV and IRR, DSCR, and an overall decision. Also shows NPV at a range of discount rates.</t>
  </si>
  <si>
    <t xml:space="preserve">4. Sensitivity</t>
  </si>
  <si>
    <t xml:space="preserve">Shows how NPV changes when price, volume, variable cost, fixed cost, capex or WACC change by ±10% and ±20%, with a spider chart. Edit the % steps in row 4.</t>
  </si>
  <si>
    <t xml:space="preserve">5. Compare Options</t>
  </si>
  <si>
    <t xml:space="preserve">Enter net cash flows of alternative investments to compare NPV, IRR, MIRR, PI, payback and rank them. Option 1 is linked to the model.</t>
  </si>
  <si>
    <t xml:space="preserve">6. Summary</t>
  </si>
  <si>
    <t xml:space="preserve">One-page dashboard of key indicators, the decision and a cash-flow chart for reports and investment committees.</t>
  </si>
  <si>
    <t xml:space="preserve">Decision rules</t>
  </si>
  <si>
    <t xml:space="preserve">Invest if NPV &gt; 0 and IRR &gt; WACC. Prefer the highest NPV among mutually exclusive options. Check DSCR meets lender requirements.</t>
  </si>
  <si>
    <t xml:space="preserve">Example data</t>
  </si>
  <si>
    <t xml:space="preserve">The agro-processing figures are illustrative only. Replace them with your own data and document sources.</t>
  </si>
  <si>
    <t xml:space="preserve">Colour key</t>
  </si>
  <si>
    <t xml:space="preserve">Blue text</t>
  </si>
  <si>
    <t xml:space="preserve">Inputs you can change.</t>
  </si>
  <si>
    <t xml:space="preserve">Black text</t>
  </si>
  <si>
    <t xml:space="preserve">Calculations – do not overwrite.</t>
  </si>
  <si>
    <t xml:space="preserve">Green text</t>
  </si>
  <si>
    <t xml:space="preserve">Links from another sheet.</t>
  </si>
  <si>
    <t xml:space="preserve">Yellow fill</t>
  </si>
  <si>
    <t xml:space="preserve">Key assumptions and headline results.</t>
  </si>
  <si>
    <t xml:space="preserve">INPUTS AND ASSUMPTIONS</t>
  </si>
  <si>
    <t xml:space="preserve">Blue = input; yellow = key value driver. Nominal prices (escalation applied). Replace example figures with your own and record sources in column C.</t>
  </si>
  <si>
    <t xml:space="preserve">Assumption</t>
  </si>
  <si>
    <t xml:space="preserve">Value</t>
  </si>
  <si>
    <t xml:space="preserve">Notes / source</t>
  </si>
  <si>
    <t xml:space="preserve">GENERAL</t>
  </si>
  <si>
    <t xml:space="preserve">Project name</t>
  </si>
  <si>
    <t xml:space="preserve">[Example: Agro-processing plant expansion]</t>
  </si>
  <si>
    <t xml:space="preserve">Currency</t>
  </si>
  <si>
    <t xml:space="preserve">GHS</t>
  </si>
  <si>
    <t xml:space="preserve">First year (Year 0)</t>
  </si>
  <si>
    <t xml:space="preserve">Year of initial investment</t>
  </si>
  <si>
    <t xml:space="preserve">Projection period (operating years, max 10)</t>
  </si>
  <si>
    <t xml:space="preserve">Discount rate – WACC (nominal)</t>
  </si>
  <si>
    <t xml:space="preserve">Required return for the project (weighted average cost of capital)</t>
  </si>
  <si>
    <t xml:space="preserve">Cost of equity</t>
  </si>
  <si>
    <t xml:space="preserve">Used to discount equity cash flows</t>
  </si>
  <si>
    <t xml:space="preserve">Reinvestment rate for MIRR</t>
  </si>
  <si>
    <t xml:space="preserve">Corporate income tax rate</t>
  </si>
  <si>
    <t xml:space="preserve">Check current national tax law</t>
  </si>
  <si>
    <t xml:space="preserve">INVESTMENT</t>
  </si>
  <si>
    <t xml:space="preserve">Capital expenditure – Year 0</t>
  </si>
  <si>
    <t xml:space="preserve">Land, buildings, equipment, installation</t>
  </si>
  <si>
    <t xml:space="preserve">Capital expenditure – Year 1</t>
  </si>
  <si>
    <t xml:space="preserve">Depreciation life (years, straight line)</t>
  </si>
  <si>
    <t xml:space="preserve">Salvage / terminal value at end of period</t>
  </si>
  <si>
    <t xml:space="preserve">Received in final year</t>
  </si>
  <si>
    <t xml:space="preserve">Working capital (% of revenue)</t>
  </si>
  <si>
    <t xml:space="preserve">Recovered in the final year</t>
  </si>
  <si>
    <t xml:space="preserve">REVENUE</t>
  </si>
  <si>
    <t xml:space="preserve">Sales volume – Year 1 at full capacity (units)</t>
  </si>
  <si>
    <t xml:space="preserve">Annual volume growth</t>
  </si>
  <si>
    <t xml:space="preserve">Selling price per unit – Year 1</t>
  </si>
  <si>
    <t xml:space="preserve">Annual price escalation</t>
  </si>
  <si>
    <t xml:space="preserve">OPERATING COSTS</t>
  </si>
  <si>
    <t xml:space="preserve">Variable cost per unit – Year 1</t>
  </si>
  <si>
    <t xml:space="preserve">Raw materials, packaging, direct labour</t>
  </si>
  <si>
    <t xml:space="preserve">Annual variable cost escalation</t>
  </si>
  <si>
    <t xml:space="preserve">Fixed operating costs per year – Year 1</t>
  </si>
  <si>
    <t xml:space="preserve">Salaries, rent, utilities, insurance, admin</t>
  </si>
  <si>
    <t xml:space="preserve">Annual fixed cost escalation</t>
  </si>
  <si>
    <t xml:space="preserve">FINANCING</t>
  </si>
  <si>
    <t xml:space="preserve">Loan amount (drawn in Year 0)</t>
  </si>
  <si>
    <t xml:space="preserve">Equity = total capex – loan</t>
  </si>
  <si>
    <t xml:space="preserve">Loan interest rate</t>
  </si>
  <si>
    <t xml:space="preserve">Loan tenor (years of repayment)</t>
  </si>
  <si>
    <t xml:space="preserve">Equal annual instalments (annuity)</t>
  </si>
  <si>
    <t xml:space="preserve">CAPACITY RAMP-UP (% of full volume by operating year)</t>
  </si>
  <si>
    <t xml:space="preserve">Operating year</t>
  </si>
  <si>
    <t xml:space="preserve">Utilisation</t>
  </si>
  <si>
    <t xml:space="preserve">Example figures are illustrative only – replace with your project data.</t>
  </si>
  <si>
    <t xml:space="preserve">CASH FLOW MODEL</t>
  </si>
  <si>
    <t xml:space="preserve">Year</t>
  </si>
  <si>
    <t xml:space="preserve">Calendar year</t>
  </si>
  <si>
    <t xml:space="preserve">Operating year flag</t>
  </si>
  <si>
    <t xml:space="preserve">OPERATIONS</t>
  </si>
  <si>
    <t xml:space="preserve">Sales volume (units)</t>
  </si>
  <si>
    <t xml:space="preserve">Price per unit</t>
  </si>
  <si>
    <t xml:space="preserve">Revenue</t>
  </si>
  <si>
    <t xml:space="preserve">Variable costs</t>
  </si>
  <si>
    <t xml:space="preserve">Fixed operating costs</t>
  </si>
  <si>
    <t xml:space="preserve">EBITDA</t>
  </si>
  <si>
    <t xml:space="preserve">EBITDA margin</t>
  </si>
  <si>
    <t xml:space="preserve">Depreciation</t>
  </si>
  <si>
    <t xml:space="preserve">EBIT (operating profit)</t>
  </si>
  <si>
    <t xml:space="preserve">Income tax on EBIT</t>
  </si>
  <si>
    <t xml:space="preserve">NOPAT</t>
  </si>
  <si>
    <t xml:space="preserve">INVESTMENT AND WORKING CAPITAL</t>
  </si>
  <si>
    <t xml:space="preserve">Capital expenditure</t>
  </si>
  <si>
    <t xml:space="preserve">Working capital required</t>
  </si>
  <si>
    <t xml:space="preserve">Change in working capital (incl. final recovery)</t>
  </si>
  <si>
    <t xml:space="preserve">Salvage / terminal value</t>
  </si>
  <si>
    <t xml:space="preserve">PROJECT (UNLEVERED) FREE CASH FLOW</t>
  </si>
  <si>
    <t xml:space="preserve">Free cash flow to the project</t>
  </si>
  <si>
    <t xml:space="preserve">Cumulative free cash flow</t>
  </si>
  <si>
    <t xml:space="preserve">Discount factor (WACC)</t>
  </si>
  <si>
    <t xml:space="preserve">PV of free cash flow</t>
  </si>
  <si>
    <t xml:space="preserve">Cumulative PV of free cash flow</t>
  </si>
  <si>
    <t xml:space="preserve">FINANCING AND EQUITY CASH FLOW</t>
  </si>
  <si>
    <t xml:space="preserve">Loan – opening balance</t>
  </si>
  <si>
    <t xml:space="preserve">Loan drawdown</t>
  </si>
  <si>
    <t xml:space="preserve">Interest</t>
  </si>
  <si>
    <t xml:space="preserve">Principal repayment</t>
  </si>
  <si>
    <t xml:space="preserve">Loan – closing balance</t>
  </si>
  <si>
    <t xml:space="preserve">Total debt service</t>
  </si>
  <si>
    <t xml:space="preserve">Debt service cover ratio (DSCR)</t>
  </si>
  <si>
    <t xml:space="preserve">Free cash flow to equity</t>
  </si>
  <si>
    <t xml:space="preserve">Discount factor (cost of equity)</t>
  </si>
  <si>
    <t xml:space="preserve">PV of equity cash flow</t>
  </si>
  <si>
    <t xml:space="preserve">HELPERS</t>
  </si>
  <si>
    <t xml:space="preserve">Payback flag</t>
  </si>
  <si>
    <t xml:space="preserve">Discounted payback flag</t>
  </si>
  <si>
    <t xml:space="preserve">INVESTMENT APPRAISAL RESULTS</t>
  </si>
  <si>
    <t xml:space="preserve">Indicator</t>
  </si>
  <si>
    <t xml:space="preserve">Result</t>
  </si>
  <si>
    <t xml:space="preserve">Decision rule / interpretation</t>
  </si>
  <si>
    <t xml:space="preserve">PROJECT (UNLEVERED) RETURNS</t>
  </si>
  <si>
    <t xml:space="preserve">Total initial investment (capex)</t>
  </si>
  <si>
    <t xml:space="preserve">Net present value (NPV) at WACC</t>
  </si>
  <si>
    <t xml:space="preserve">Accept if NPV &gt; 0</t>
  </si>
  <si>
    <t xml:space="preserve">Internal rate of return (IRR)</t>
  </si>
  <si>
    <t xml:space="preserve">Accept if IRR &gt; WACC</t>
  </si>
  <si>
    <t xml:space="preserve">Modified IRR (MIRR)</t>
  </si>
  <si>
    <t xml:space="preserve">More realistic reinvestment assumption than IRR</t>
  </si>
  <si>
    <t xml:space="preserve">Profitability index (PI)</t>
  </si>
  <si>
    <t xml:space="preserve">Accept if PI &gt; 1; ranks projects when capital is limited</t>
  </si>
  <si>
    <t xml:space="preserve">Simple payback (years)</t>
  </si>
  <si>
    <t xml:space="preserve">Shorter is better; compare with target payback</t>
  </si>
  <si>
    <t xml:space="preserve">Discounted payback (years)</t>
  </si>
  <si>
    <t xml:space="preserve">Years to recover investment in present-value terms</t>
  </si>
  <si>
    <t xml:space="preserve">Average EBITDA margin</t>
  </si>
  <si>
    <t xml:space="preserve">EQUITY RETURNS (WITH LOAN)</t>
  </si>
  <si>
    <t xml:space="preserve">Equity investment (Year 0)</t>
  </si>
  <si>
    <t xml:space="preserve">Capex and working capital not covered by the loan</t>
  </si>
  <si>
    <t xml:space="preserve">Equity NPV at cost of equity</t>
  </si>
  <si>
    <t xml:space="preserve">Value created for shareholders</t>
  </si>
  <si>
    <t xml:space="preserve">Equity IRR</t>
  </si>
  <si>
    <t xml:space="preserve">Compare with cost of equity</t>
  </si>
  <si>
    <t xml:space="preserve">Minimum DSCR</t>
  </si>
  <si>
    <t xml:space="preserve">Lenders typically require ≥ 1.2–1.5x</t>
  </si>
  <si>
    <t xml:space="preserve">Average DSCR</t>
  </si>
  <si>
    <t xml:space="preserve">DECISION</t>
  </si>
  <si>
    <t xml:space="preserve">Overall assessment</t>
  </si>
  <si>
    <t xml:space="preserve">NPV at alternative discount rates</t>
  </si>
  <si>
    <t xml:space="preserve">Discount rate</t>
  </si>
  <si>
    <t xml:space="preserve">Project NPV</t>
  </si>
  <si>
    <t xml:space="preserve">Conventions: end-of-year cash flows; Year 0 undiscounted; payback interpolated within the year; tax simplified (no loss carry-forward).</t>
  </si>
  <si>
    <t xml:space="preserve">SENSITIVITY ANALYSIS (ONE VARIABLE AT A TIME)</t>
  </si>
  <si>
    <t xml:space="preserve">Project NPV when each driver changes by the % shown, all else equal. Recalculates automatically from the model.</t>
  </si>
  <si>
    <t xml:space="preserve">Change in driver →</t>
  </si>
  <si>
    <t xml:space="preserve">NPV range</t>
  </si>
  <si>
    <t xml:space="preserve">Selling price</t>
  </si>
  <si>
    <t xml:space="preserve">Sales volume</t>
  </si>
  <si>
    <t xml:space="preserve">Variable cost per unit</t>
  </si>
  <si>
    <t xml:space="preserve">Discount rate (WACC)</t>
  </si>
  <si>
    <t xml:space="preserve">Reading the table: the base case is the 0% column. Drivers with the largest NPV range have the greatest influence and need the most careful estimation and risk management.</t>
  </si>
  <si>
    <t xml:space="preserve">Helper: free cash flow by scenario (do not edit)</t>
  </si>
  <si>
    <t xml:space="preserve">COMPARE INVESTMENT OPTIONS</t>
  </si>
  <si>
    <t xml:space="preserve">Enter the net cash flows of up to five alternative investments (Year 0 investment as a negative number). Option 1 can link to the model.</t>
  </si>
  <si>
    <t xml:space="preserve">Option</t>
  </si>
  <si>
    <t xml:space="preserve">Year 0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</si>
  <si>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</si>
  <si>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</si>
  <si>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</si>
  <si>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</si>
  <si>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</si>
  <si>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</si>
  <si>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</si>
  <si>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</si>
  <si>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</si>
  <si>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</si>
  <si>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Option 1 – this project (linked)</t>
  </si>
  <si>
    <t xml:space="preserve">Option 2 – [lease equipment instead]</t>
  </si>
  <si>
    <t xml:space="preserve">Option 3 – [smaller plant]</t>
  </si>
  <si>
    <t xml:space="preserve">Option 4 – [name]</t>
  </si>
  <si>
    <t xml:space="preserve">Option 5 – [name]</t>
  </si>
  <si>
    <t xml:space="preserve">Results</t>
  </si>
  <si>
    <t xml:space="preserve">NPV</t>
  </si>
  <si>
    <t xml:space="preserve">IRR</t>
  </si>
  <si>
    <t xml:space="preserve">MIRR</t>
  </si>
  <si>
    <t xml:space="preserve">PI</t>
  </si>
  <si>
    <t xml:space="preserve">Payback (yrs)</t>
  </si>
  <si>
    <t xml:space="preserve">NPV rank</t>
  </si>
  <si>
    <t xml:space="preserve">Choose the option with the highest NPV when options are mutually exclusive. Use PI to rank when capital is limited. IRR can mislead when projects differ in size or timing.</t>
  </si>
  <si>
    <t xml:space="preserve">Helper: cumulative cash flow by option (do not edit)</t>
  </si>
  <si>
    <t xml:space="preserve">INVESTMENT APPRAISAL SUMMARY</t>
  </si>
  <si>
    <t xml:space="preserve">Chart data (linked)</t>
  </si>
  <si>
    <t xml:space="preserve">Free cash flow</t>
  </si>
  <si>
    <t xml:space="preserve">Cumulative PV</t>
  </si>
  <si>
    <t xml:space="preserve">Project IRR</t>
  </si>
  <si>
    <t xml:space="preserve">Modified IRR</t>
  </si>
  <si>
    <t xml:space="preserve">Profitability index</t>
  </si>
  <si>
    <t xml:space="preserve">Discounted payback (yrs)</t>
  </si>
  <si>
    <t xml:space="preserve">Equity NPV</t>
  </si>
  <si>
    <t xml:space="preserve">Simple payback (yrs)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</si>
</sst>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"/>
    <numFmt numFmtId="166" formatCode="0.0%"/>
    <numFmt numFmtId="167" formatCode="#,##0;\(#,##0\);\-"/>
    <numFmt numFmtId="168" formatCode="#,##0"/>
    <numFmt numFmtId="169" formatCode="#,##0.00"/>
    <numFmt numFmtId="170" formatCode="0%"/>
    <numFmt numFmtId="171" formatCode="0.0%;\(0.0%\);\-"/>
    <numFmt numFmtId="172" formatCode="0.0000"/>
    <numFmt numFmtId="173" formatCode="0.00\x"/>
    <numFmt numFmtId="174" formatCode="0.0"/>
    <numFmt numFmtId="175" formatCode="0.00"/>
    <numFmt numFmtId="176" formatCode="\+0%;\-0%;0%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7324D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17324D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7324D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7324D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C00000"/>
      <name val="Arial"/>
      <family val="0"/>
      <charset val="1"/>
    </font>
    <font>
      <sz val="8"/>
      <color rgb="FF595959"/>
      <name val="Arial"/>
      <family val="0"/>
      <charset val="1"/>
    </font>
    <font>
      <i val="true"/>
      <sz val="9"/>
      <name val="Arial"/>
      <family val="0"/>
      <charset val="1"/>
    </font>
    <font>
      <sz val="8"/>
      <color rgb="FF808080"/>
      <name val="Arial"/>
      <family val="0"/>
      <charset val="1"/>
    </font>
    <font>
      <sz val="10"/>
      <name val="Arial"/>
      <family val="2"/>
    </font>
    <font>
      <i val="true"/>
      <sz val="8"/>
      <color rgb="FF595959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2"/>
      <name val="Arial"/>
      <family val="0"/>
      <charset val="1"/>
    </font>
    <font>
      <b val="true"/>
      <sz val="8"/>
      <name val="Arial"/>
      <family val="0"/>
      <charset val="1"/>
    </font>
    <font>
      <sz val="10"/>
      <color rgb="FF595959"/>
      <name val="Arial"/>
      <family val="0"/>
      <charset val="1"/>
    </font>
    <font>
      <sz val="8"/>
      <name val="Arial"/>
      <family val="0"/>
      <charset val="1"/>
    </font>
    <font>
      <sz val="8"/>
      <color rgb="FF008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8"/>
      <color rgb="FF17324D"/>
      <name val="Arial"/>
      <family val="0"/>
      <charset val="1"/>
    </font>
    <font>
      <b val="true"/>
      <sz val="13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DCE3EC"/>
        <bgColor rgb="FFD9D9D9"/>
      </patternFill>
    </fill>
    <fill>
      <patternFill patternType="solid">
        <fgColor rgb="FFFFFF00"/>
        <bgColor rgb="FFFFC000"/>
      </patternFill>
    </fill>
    <fill>
      <patternFill patternType="solid">
        <fgColor rgb="FF17324D"/>
        <bgColor rgb="FF404040"/>
      </patternFill>
    </fill>
    <fill>
      <patternFill patternType="solid">
        <fgColor rgb="FFEEF2F7"/>
        <bgColor rgb="FFEEF2F8"/>
      </patternFill>
    </fill>
    <fill>
      <patternFill patternType="solid">
        <fgColor rgb="FFFFF8DC"/>
        <bgColor rgb="FFF2F2F2"/>
      </patternFill>
    </fill>
    <fill>
      <patternFill patternType="solid">
        <fgColor rgb="FFE2EFDA"/>
        <bgColor rgb="FFDCE3EC"/>
      </patternFill>
    </fill>
    <fill>
      <patternFill patternType="solid">
        <fgColor rgb="FFEEF2F8"/>
        <bgColor rgb="FFEEF2F7"/>
      </patternFill>
    </fill>
    <fill>
      <patternFill patternType="solid">
        <fgColor rgb="FFF2F2F2"/>
        <bgColor rgb="FFEEF2F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  <border diagonalUp="false" diagonalDown="false">
      <left/>
      <right/>
      <top style="thin">
        <color rgb="FF40404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2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2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32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2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32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ont>
        <name val="Arial"/>
        <charset val="1"/>
        <family val="0"/>
        <color rgb="FFC00000"/>
      </font>
    </dxf>
    <dxf>
      <fill>
        <patternFill>
          <bgColor rgb="FFFFC7CE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name val="Arial"/>
        <charset val="1"/>
        <family val="0"/>
        <b val="1"/>
        <color rgb="FF006100"/>
        <sz val="13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  <sz val="13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9C0006"/>
        <sz val="13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B7C3D0"/>
      <rgbColor rgb="FF808080"/>
      <rgbColor rgb="FF5B9BD5"/>
      <rgbColor rgb="FFBE4B48"/>
      <rgbColor rgb="FFFFF8DC"/>
      <rgbColor rgb="FFE2EFDA"/>
      <rgbColor rgb="FF660066"/>
      <rgbColor rgb="FFFF8080"/>
      <rgbColor rgb="FF0066CC"/>
      <rgbColor rgb="FFD9D9D9"/>
      <rgbColor rgb="FF000080"/>
      <rgbColor rgb="FFFF00FF"/>
      <rgbColor rgb="FFEEF2F7"/>
      <rgbColor rgb="FF00FFFF"/>
      <rgbColor rgb="FF800080"/>
      <rgbColor rgb="FF800000"/>
      <rgbColor rgb="FF008080"/>
      <rgbColor rgb="FF0000FF"/>
      <rgbColor rgb="FF00CCFF"/>
      <rgbColor rgb="FFEEF2F8"/>
      <rgbColor rgb="FFC6EFCE"/>
      <rgbColor rgb="FFFFEB9C"/>
      <rgbColor rgb="FFDCE3EC"/>
      <rgbColor rgb="FFF2F2F2"/>
      <rgbColor rgb="FF7F7F7F"/>
      <rgbColor rgb="FFFFC7CE"/>
      <rgbColor rgb="FF2E75B6"/>
      <rgbColor rgb="FF46AAC4"/>
      <rgbColor rgb="FF98B855"/>
      <rgbColor rgb="FFFFC000"/>
      <rgbColor rgb="FFF59240"/>
      <rgbColor rgb="FFFF6600"/>
      <rgbColor rgb="FF7D5FA0"/>
      <rgbColor rgb="FF878787"/>
      <rgbColor rgb="FF17324D"/>
      <rgbColor rgb="FF4A7EBB"/>
      <rgbColor rgb="FF006100"/>
      <rgbColor rgb="FF333300"/>
      <rgbColor rgb="FF9C5700"/>
      <rgbColor rgb="FF7030A0"/>
      <rgbColor rgb="FF59595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Spider chart – NPV vs change in driver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Sensitivity!A5</c:f>
              <c:strCache>
                <c:ptCount val="1"/>
                <c:pt idx="0">
                  <c:v>Selling price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Sensitivity!$B$4:$F$4</c:f>
              <c:strCache>
                <c:ptCount val="5"/>
                <c:pt idx="0">
                  <c:v>-20%</c:v>
                </c:pt>
                <c:pt idx="1">
                  <c:v>-10%</c:v>
                </c:pt>
                <c:pt idx="2">
                  <c:v>0%</c:v>
                </c:pt>
                <c:pt idx="3">
                  <c:v>+10%</c:v>
                </c:pt>
                <c:pt idx="4">
                  <c:v>+20%</c:v>
                </c:pt>
              </c:strCache>
            </c:strRef>
          </c:cat>
          <c:val>
            <c:numRef>
              <c:f>Sensitivity!$B$5:$F$5</c:f>
              <c:numCache>
                <c:formatCode>#,##0;\(#,##0\);\-</c:formatCode>
                <c:ptCount val="5"/>
                <c:pt idx="0">
                  <c:v>-196790.171536172</c:v>
                </c:pt>
                <c:pt idx="1">
                  <c:v>337738.889200829</c:v>
                </c:pt>
                <c:pt idx="2">
                  <c:v>856612.497131708</c:v>
                </c:pt>
                <c:pt idx="3">
                  <c:v>1372584.3193483</c:v>
                </c:pt>
                <c:pt idx="4">
                  <c:v>1888556.14156489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Sensitivity!A6</c:f>
              <c:strCache>
                <c:ptCount val="1"/>
                <c:pt idx="0">
                  <c:v>Sales volume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Sensitivity!$B$4:$F$4</c:f>
              <c:strCache>
                <c:ptCount val="5"/>
                <c:pt idx="0">
                  <c:v>-20%</c:v>
                </c:pt>
                <c:pt idx="1">
                  <c:v>-10%</c:v>
                </c:pt>
                <c:pt idx="2">
                  <c:v>0%</c:v>
                </c:pt>
                <c:pt idx="3">
                  <c:v>+10%</c:v>
                </c:pt>
                <c:pt idx="4">
                  <c:v>+20%</c:v>
                </c:pt>
              </c:strCache>
            </c:strRef>
          </c:cat>
          <c:val>
            <c:numRef>
              <c:f>Sensitivity!$B$6:$F$6</c:f>
              <c:numCache>
                <c:formatCode>#,##0;\(#,##0\);\-</c:formatCode>
                <c:ptCount val="5"/>
                <c:pt idx="0">
                  <c:v>279955.841754354</c:v>
                </c:pt>
                <c:pt idx="1">
                  <c:v>570672.562300174</c:v>
                </c:pt>
                <c:pt idx="2">
                  <c:v>856612.497131708</c:v>
                </c:pt>
                <c:pt idx="3">
                  <c:v>1142552.43196324</c:v>
                </c:pt>
                <c:pt idx="4">
                  <c:v>1428492.36679478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Sensitivity!A7</c:f>
              <c:strCache>
                <c:ptCount val="1"/>
                <c:pt idx="0">
                  <c:v>Variable cost per unit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Sensitivity!$B$4:$F$4</c:f>
              <c:strCache>
                <c:ptCount val="5"/>
                <c:pt idx="0">
                  <c:v>-20%</c:v>
                </c:pt>
                <c:pt idx="1">
                  <c:v>-10%</c:v>
                </c:pt>
                <c:pt idx="2">
                  <c:v>0%</c:v>
                </c:pt>
                <c:pt idx="3">
                  <c:v>+10%</c:v>
                </c:pt>
                <c:pt idx="4">
                  <c:v>+20%</c:v>
                </c:pt>
              </c:strCache>
            </c:strRef>
          </c:cat>
          <c:val>
            <c:numRef>
              <c:f>Sensitivity!$B$7:$F$7</c:f>
              <c:numCache>
                <c:formatCode>#,##0;\(#,##0\);\-</c:formatCode>
                <c:ptCount val="5"/>
                <c:pt idx="0">
                  <c:v>1316676.27190183</c:v>
                </c:pt>
                <c:pt idx="1">
                  <c:v>1086644.38451677</c:v>
                </c:pt>
                <c:pt idx="2">
                  <c:v>856612.497131708</c:v>
                </c:pt>
                <c:pt idx="3">
                  <c:v>626580.609746649</c:v>
                </c:pt>
                <c:pt idx="4">
                  <c:v>395521.936647305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Sensitivity!A8</c:f>
              <c:strCache>
                <c:ptCount val="1"/>
                <c:pt idx="0">
                  <c:v>Fixed operating costs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Sensitivity!$B$4:$F$4</c:f>
              <c:strCache>
                <c:ptCount val="5"/>
                <c:pt idx="0">
                  <c:v>-20%</c:v>
                </c:pt>
                <c:pt idx="1">
                  <c:v>-10%</c:v>
                </c:pt>
                <c:pt idx="2">
                  <c:v>0%</c:v>
                </c:pt>
                <c:pt idx="3">
                  <c:v>+10%</c:v>
                </c:pt>
                <c:pt idx="4">
                  <c:v>+20%</c:v>
                </c:pt>
              </c:strCache>
            </c:strRef>
          </c:cat>
          <c:val>
            <c:numRef>
              <c:f>Sensitivity!$B$8:$F$8</c:f>
              <c:numCache>
                <c:formatCode>#,##0;\(#,##0\);\-</c:formatCode>
                <c:ptCount val="5"/>
                <c:pt idx="0">
                  <c:v>1092985.36947976</c:v>
                </c:pt>
                <c:pt idx="1">
                  <c:v>974798.933305734</c:v>
                </c:pt>
                <c:pt idx="2">
                  <c:v>856612.497131708</c:v>
                </c:pt>
                <c:pt idx="3">
                  <c:v>738426.060957682</c:v>
                </c:pt>
                <c:pt idx="4">
                  <c:v>620239.624783657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Sensitivity!A9</c:f>
              <c:strCache>
                <c:ptCount val="1"/>
                <c:pt idx="0">
                  <c:v>Capital expenditure</c:v>
                </c:pt>
              </c:strCache>
            </c:strRef>
          </c:tx>
          <c:spPr>
            <a:solidFill>
              <a:srgbClr val="46aac4"/>
            </a:solidFill>
            <a:ln w="2844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Sensitivity!$B$4:$F$4</c:f>
              <c:strCache>
                <c:ptCount val="5"/>
                <c:pt idx="0">
                  <c:v>-20%</c:v>
                </c:pt>
                <c:pt idx="1">
                  <c:v>-10%</c:v>
                </c:pt>
                <c:pt idx="2">
                  <c:v>0%</c:v>
                </c:pt>
                <c:pt idx="3">
                  <c:v>+10%</c:v>
                </c:pt>
                <c:pt idx="4">
                  <c:v>+20%</c:v>
                </c:pt>
              </c:strCache>
            </c:strRef>
          </c:cat>
          <c:val>
            <c:numRef>
              <c:f>Sensitivity!$B$9:$F$9</c:f>
              <c:numCache>
                <c:formatCode>#,##0;\(#,##0\);\-</c:formatCode>
                <c:ptCount val="5"/>
                <c:pt idx="0">
                  <c:v>1020796.99502038</c:v>
                </c:pt>
                <c:pt idx="1">
                  <c:v>938704.746076046</c:v>
                </c:pt>
                <c:pt idx="2">
                  <c:v>856612.497131708</c:v>
                </c:pt>
                <c:pt idx="3">
                  <c:v>774520.24818737</c:v>
                </c:pt>
                <c:pt idx="4">
                  <c:v>692427.999243032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Sensitivity!A10</c:f>
              <c:strCache>
                <c:ptCount val="1"/>
                <c:pt idx="0">
                  <c:v>Discount rate (WACC)</c:v>
                </c:pt>
              </c:strCache>
            </c:strRef>
          </c:tx>
          <c:spPr>
            <a:solidFill>
              <a:srgbClr val="f59240"/>
            </a:solidFill>
            <a:ln w="28440">
              <a:solidFill>
                <a:srgbClr val="f5924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Sensitivity!$B$4:$F$4</c:f>
              <c:strCache>
                <c:ptCount val="5"/>
                <c:pt idx="0">
                  <c:v>-20%</c:v>
                </c:pt>
                <c:pt idx="1">
                  <c:v>-10%</c:v>
                </c:pt>
                <c:pt idx="2">
                  <c:v>0%</c:v>
                </c:pt>
                <c:pt idx="3">
                  <c:v>+10%</c:v>
                </c:pt>
                <c:pt idx="4">
                  <c:v>+20%</c:v>
                </c:pt>
              </c:strCache>
            </c:strRef>
          </c:cat>
          <c:val>
            <c:numRef>
              <c:f>Sensitivity!$B$10:$F$10</c:f>
              <c:numCache>
                <c:formatCode>#,##0;\(#,##0\);\-</c:formatCode>
                <c:ptCount val="5"/>
                <c:pt idx="0">
                  <c:v>1118494.42823894</c:v>
                </c:pt>
                <c:pt idx="1">
                  <c:v>981595.446303262</c:v>
                </c:pt>
                <c:pt idx="2">
                  <c:v>856612.497131708</c:v>
                </c:pt>
                <c:pt idx="3">
                  <c:v>742325.829425732</c:v>
                </c:pt>
                <c:pt idx="4">
                  <c:v>637656.254699722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5210476"/>
        <c:axId val="60201441"/>
      </c:lineChart>
      <c:catAx>
        <c:axId val="6521047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Change in driver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+0%;\-0%;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201441"/>
        <c:crosses val="autoZero"/>
        <c:auto val="1"/>
        <c:lblAlgn val="ctr"/>
        <c:lblOffset val="100"/>
        <c:noMultiLvlLbl val="0"/>
      </c:catAx>
      <c:valAx>
        <c:axId val="6020144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NPV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21047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Free cash flow and cumulative PV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Summary!M2</c:f>
              <c:strCache>
                <c:ptCount val="1"/>
                <c:pt idx="0">
                  <c:v>Free cash flow</c:v>
                </c:pt>
              </c:strCache>
            </c:strRef>
          </c:tx>
          <c:spPr>
            <a:solidFill>
              <a:srgbClr val="5b9bd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Summary!$L$3:$L$13</c:f>
              <c:strCache>
                <c:ptCount val="11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</c:strCache>
            </c:strRef>
          </c:cat>
          <c:val>
            <c:numRef>
              <c:f>Summary!$M$3:$M$13</c:f>
              <c:numCache>
                <c:formatCode>#,##0;\(#,##0\);\-</c:formatCode>
                <c:ptCount val="11"/>
                <c:pt idx="0">
                  <c:v>-900000</c:v>
                </c:pt>
                <c:pt idx="1">
                  <c:v>-42250</c:v>
                </c:pt>
                <c:pt idx="2">
                  <c:v>189491.4</c:v>
                </c:pt>
                <c:pt idx="3">
                  <c:v>280573.4708</c:v>
                </c:pt>
                <c:pt idx="4">
                  <c:v>324444.79602096</c:v>
                </c:pt>
                <c:pt idx="5">
                  <c:v>354473.581572653</c:v>
                </c:pt>
                <c:pt idx="6">
                  <c:v>386893.656137875</c:v>
                </c:pt>
                <c:pt idx="7">
                  <c:v>421882.87667886</c:v>
                </c:pt>
                <c:pt idx="8">
                  <c:v>459631.991489081</c:v>
                </c:pt>
                <c:pt idx="9">
                  <c:v>500345.564893511</c:v>
                </c:pt>
                <c:pt idx="10">
                  <c:v>879952.876500144</c:v>
                </c:pt>
              </c:numCache>
            </c:numRef>
          </c:val>
        </c:ser>
        <c:gapWidth val="150"/>
        <c:overlap val="0"/>
        <c:axId val="50867930"/>
        <c:axId val="47889633"/>
      </c:barChart>
      <c:lineChart>
        <c:grouping val="standard"/>
        <c:varyColors val="0"/>
        <c:ser>
          <c:idx val="1"/>
          <c:order val="1"/>
          <c:tx>
            <c:strRef>
              <c:f>Summary!N2</c:f>
              <c:strCache>
                <c:ptCount val="1"/>
                <c:pt idx="0">
                  <c:v>Cumulative PV</c:v>
                </c:pt>
              </c:strCache>
            </c:strRef>
          </c:tx>
          <c:spPr>
            <a:solidFill>
              <a:srgbClr val="17324d"/>
            </a:solidFill>
            <a:ln w="28440">
              <a:solidFill>
                <a:srgbClr val="1732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Summary!$L$3:$L$13</c:f>
              <c:strCache>
                <c:ptCount val="11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</c:strCache>
            </c:strRef>
          </c:cat>
          <c:val>
            <c:numRef>
              <c:f>Summary!$N$3:$N$13</c:f>
              <c:numCache>
                <c:formatCode>#,##0;\(#,##0\);\-</c:formatCode>
                <c:ptCount val="11"/>
                <c:pt idx="0">
                  <c:v>-900000</c:v>
                </c:pt>
                <c:pt idx="1">
                  <c:v>-937723.214285714</c:v>
                </c:pt>
                <c:pt idx="2">
                  <c:v>-786661.830357143</c:v>
                </c:pt>
                <c:pt idx="3">
                  <c:v>-586955.17578125</c:v>
                </c:pt>
                <c:pt idx="4">
                  <c:v>-380764.642465562</c:v>
                </c:pt>
                <c:pt idx="5">
                  <c:v>-179626.812638481</c:v>
                </c:pt>
                <c:pt idx="6">
                  <c:v>16385.5541470431</c:v>
                </c:pt>
                <c:pt idx="7">
                  <c:v>207223.942376797</c:v>
                </c:pt>
                <c:pt idx="8">
                  <c:v>392861.594781993</c:v>
                </c:pt>
                <c:pt idx="9">
                  <c:v>573291.221437664</c:v>
                </c:pt>
                <c:pt idx="10">
                  <c:v>856612.497131708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0867930"/>
        <c:axId val="47889633"/>
      </c:lineChart>
      <c:catAx>
        <c:axId val="5086793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889633"/>
        <c:crosses val="autoZero"/>
        <c:auto val="1"/>
        <c:lblAlgn val="ctr"/>
        <c:lblOffset val="100"/>
        <c:noMultiLvlLbl val="0"/>
      </c:catAx>
      <c:valAx>
        <c:axId val="47889633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86793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160560</xdr:rowOff>
    </xdr:from>
    <xdr:to>
      <xdr:col>4</xdr:col>
      <xdr:colOff>896040</xdr:colOff>
      <xdr:row>27</xdr:row>
      <xdr:rowOff>182880</xdr:rowOff>
    </xdr:to>
    <xdr:graphicFrame>
      <xdr:nvGraphicFramePr>
        <xdr:cNvPr id="0" name="Chart 1"/>
        <xdr:cNvGraphicFramePr/>
      </xdr:nvGraphicFramePr>
      <xdr:xfrm>
        <a:off x="0" y="247644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14</xdr:row>
      <xdr:rowOff>131040</xdr:rowOff>
    </xdr:from>
    <xdr:to>
      <xdr:col>7</xdr:col>
      <xdr:colOff>699840</xdr:colOff>
      <xdr:row>29</xdr:row>
      <xdr:rowOff>153000</xdr:rowOff>
    </xdr:to>
    <xdr:graphicFrame>
      <xdr:nvGraphicFramePr>
        <xdr:cNvPr id="1" name="Chart 1"/>
        <xdr:cNvGraphicFramePr/>
      </xdr:nvGraphicFramePr>
      <xdr:xfrm>
        <a:off x="141120" y="373392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B2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3.75" hidden="false" customHeight="true" outlineLevel="0" collapsed="false">
      <c r="B5" s="3" t="s">
        <v>2</v>
      </c>
      <c r="C5" s="4" t="s">
        <v>3</v>
      </c>
    </row>
    <row r="6" customFormat="false" ht="33.75" hidden="false" customHeight="true" outlineLevel="0" collapsed="false">
      <c r="B6" s="3" t="s">
        <v>4</v>
      </c>
      <c r="C6" s="4" t="s">
        <v>5</v>
      </c>
    </row>
    <row r="7" customFormat="false" ht="33.75" hidden="false" customHeight="true" outlineLevel="0" collapsed="false">
      <c r="B7" s="3" t="s">
        <v>6</v>
      </c>
      <c r="C7" s="4" t="s">
        <v>7</v>
      </c>
    </row>
    <row r="8" customFormat="false" ht="33.75" hidden="false" customHeight="true" outlineLevel="0" collapsed="false">
      <c r="B8" s="3" t="s">
        <v>8</v>
      </c>
      <c r="C8" s="4" t="s">
        <v>9</v>
      </c>
    </row>
    <row r="9" customFormat="false" ht="33.75" hidden="false" customHeight="true" outlineLevel="0" collapsed="false">
      <c r="B9" s="3" t="s">
        <v>10</v>
      </c>
      <c r="C9" s="4" t="s">
        <v>11</v>
      </c>
    </row>
    <row r="10" customFormat="false" ht="33.75" hidden="false" customHeight="true" outlineLevel="0" collapsed="false">
      <c r="B10" s="3" t="s">
        <v>12</v>
      </c>
      <c r="C10" s="4" t="s">
        <v>13</v>
      </c>
    </row>
    <row r="11" customFormat="false" ht="33.75" hidden="false" customHeight="true" outlineLevel="0" collapsed="false">
      <c r="B11" s="3" t="s">
        <v>14</v>
      </c>
      <c r="C11" s="4" t="s">
        <v>15</v>
      </c>
    </row>
    <row r="12" customFormat="false" ht="33.75" hidden="false" customHeight="true" outlineLevel="0" collapsed="false">
      <c r="B12" s="3" t="s">
        <v>16</v>
      </c>
      <c r="C12" s="4" t="s">
        <v>17</v>
      </c>
    </row>
    <row r="14" customFormat="false" ht="15" hidden="false" customHeight="false" outlineLevel="0" collapsed="false">
      <c r="B14" s="5" t="s">
        <v>18</v>
      </c>
    </row>
    <row r="15" customFormat="false" ht="15" hidden="false" customHeight="false" outlineLevel="0" collapsed="false">
      <c r="B15" s="6" t="s">
        <v>19</v>
      </c>
      <c r="C15" s="7" t="s">
        <v>20</v>
      </c>
    </row>
    <row r="16" customFormat="false" ht="15" hidden="false" customHeight="false" outlineLevel="0" collapsed="false">
      <c r="B16" s="7" t="s">
        <v>21</v>
      </c>
      <c r="C16" s="7" t="s">
        <v>22</v>
      </c>
    </row>
    <row r="17" customFormat="false" ht="15" hidden="false" customHeight="false" outlineLevel="0" collapsed="false">
      <c r="B17" s="8" t="s">
        <v>23</v>
      </c>
      <c r="C17" s="7" t="s">
        <v>24</v>
      </c>
    </row>
    <row r="18" customFormat="false" ht="15" hidden="false" customHeight="false" outlineLevel="0" collapsed="false">
      <c r="B18" s="9" t="s">
        <v>25</v>
      </c>
      <c r="C18" s="7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M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8"/>
    <col collapsed="false" customWidth="true" hidden="false" outlineLevel="0" max="3" min="3" style="0" width="56"/>
    <col collapsed="false" customWidth="true" hidden="false" outlineLevel="0" max="13" min="4" style="0" width="8"/>
  </cols>
  <sheetData>
    <row r="1" customFormat="false" ht="17.35" hidden="false" customHeight="false" outlineLevel="0" collapsed="false">
      <c r="A1" s="10" t="s">
        <v>27</v>
      </c>
    </row>
    <row r="2" customFormat="false" ht="15" hidden="false" customHeight="false" outlineLevel="0" collapsed="false">
      <c r="A2" s="11" t="s">
        <v>28</v>
      </c>
    </row>
    <row r="3" customFormat="false" ht="15" hidden="false" customHeight="false" outlineLevel="0" collapsed="false">
      <c r="A3" s="12" t="s">
        <v>29</v>
      </c>
      <c r="B3" s="12" t="s">
        <v>30</v>
      </c>
      <c r="C3" s="12" t="s">
        <v>31</v>
      </c>
    </row>
    <row r="4" customFormat="false" ht="15" hidden="false" customHeight="false" outlineLevel="0" collapsed="false">
      <c r="A4" s="13" t="s">
        <v>32</v>
      </c>
      <c r="B4" s="14"/>
      <c r="C4" s="14"/>
    </row>
    <row r="5" customFormat="false" ht="15" hidden="false" customHeight="false" outlineLevel="0" collapsed="false">
      <c r="A5" s="7" t="s">
        <v>33</v>
      </c>
      <c r="B5" s="15" t="s">
        <v>34</v>
      </c>
      <c r="C5" s="16"/>
    </row>
    <row r="6" customFormat="false" ht="15" hidden="false" customHeight="false" outlineLevel="0" collapsed="false">
      <c r="A6" s="7" t="s">
        <v>35</v>
      </c>
      <c r="B6" s="15" t="s">
        <v>36</v>
      </c>
      <c r="C6" s="16"/>
    </row>
    <row r="7" customFormat="false" ht="15" hidden="false" customHeight="false" outlineLevel="0" collapsed="false">
      <c r="A7" s="7" t="s">
        <v>37</v>
      </c>
      <c r="B7" s="17" t="n">
        <v>2027</v>
      </c>
      <c r="C7" s="16" t="s">
        <v>38</v>
      </c>
    </row>
    <row r="8" customFormat="false" ht="15" hidden="false" customHeight="false" outlineLevel="0" collapsed="false">
      <c r="A8" s="7" t="s">
        <v>39</v>
      </c>
      <c r="B8" s="18" t="n">
        <v>10</v>
      </c>
      <c r="C8" s="16"/>
    </row>
    <row r="9" customFormat="false" ht="15" hidden="false" customHeight="false" outlineLevel="0" collapsed="false">
      <c r="A9" s="7" t="s">
        <v>40</v>
      </c>
      <c r="B9" s="19" t="n">
        <v>0.12</v>
      </c>
      <c r="C9" s="16" t="s">
        <v>41</v>
      </c>
    </row>
    <row r="10" customFormat="false" ht="15" hidden="false" customHeight="false" outlineLevel="0" collapsed="false">
      <c r="A10" s="7" t="s">
        <v>42</v>
      </c>
      <c r="B10" s="20" t="n">
        <v>0.16</v>
      </c>
      <c r="C10" s="16" t="s">
        <v>43</v>
      </c>
    </row>
    <row r="11" customFormat="false" ht="15" hidden="false" customHeight="false" outlineLevel="0" collapsed="false">
      <c r="A11" s="7" t="s">
        <v>44</v>
      </c>
      <c r="B11" s="20" t="n">
        <v>0.1</v>
      </c>
      <c r="C11" s="16"/>
    </row>
    <row r="12" customFormat="false" ht="15" hidden="false" customHeight="false" outlineLevel="0" collapsed="false">
      <c r="A12" s="7" t="s">
        <v>45</v>
      </c>
      <c r="B12" s="19" t="n">
        <v>0.25</v>
      </c>
      <c r="C12" s="16" t="s">
        <v>46</v>
      </c>
    </row>
    <row r="14" customFormat="false" ht="15" hidden="false" customHeight="false" outlineLevel="0" collapsed="false">
      <c r="A14" s="13" t="s">
        <v>47</v>
      </c>
      <c r="B14" s="14"/>
      <c r="C14" s="14"/>
    </row>
    <row r="15" customFormat="false" ht="15" hidden="false" customHeight="false" outlineLevel="0" collapsed="false">
      <c r="A15" s="7" t="s">
        <v>48</v>
      </c>
      <c r="B15" s="21" t="n">
        <v>900000</v>
      </c>
      <c r="C15" s="16" t="s">
        <v>49</v>
      </c>
    </row>
    <row r="16" customFormat="false" ht="15" hidden="false" customHeight="false" outlineLevel="0" collapsed="false">
      <c r="A16" s="7" t="s">
        <v>50</v>
      </c>
      <c r="B16" s="22" t="n">
        <v>100000</v>
      </c>
      <c r="C16" s="16"/>
    </row>
    <row r="17" customFormat="false" ht="15" hidden="false" customHeight="false" outlineLevel="0" collapsed="false">
      <c r="A17" s="7" t="s">
        <v>51</v>
      </c>
      <c r="B17" s="17" t="n">
        <v>10</v>
      </c>
      <c r="C17" s="16"/>
    </row>
    <row r="18" customFormat="false" ht="15" hidden="false" customHeight="false" outlineLevel="0" collapsed="false">
      <c r="A18" s="7" t="s">
        <v>52</v>
      </c>
      <c r="B18" s="22" t="n">
        <v>150000</v>
      </c>
      <c r="C18" s="16" t="s">
        <v>53</v>
      </c>
    </row>
    <row r="19" customFormat="false" ht="15" hidden="false" customHeight="false" outlineLevel="0" collapsed="false">
      <c r="A19" s="7" t="s">
        <v>54</v>
      </c>
      <c r="B19" s="20" t="n">
        <v>0.1</v>
      </c>
      <c r="C19" s="16" t="s">
        <v>55</v>
      </c>
    </row>
    <row r="21" customFormat="false" ht="15" hidden="false" customHeight="false" outlineLevel="0" collapsed="false">
      <c r="A21" s="13" t="s">
        <v>56</v>
      </c>
      <c r="B21" s="14"/>
      <c r="C21" s="14"/>
    </row>
    <row r="22" customFormat="false" ht="15" hidden="false" customHeight="false" outlineLevel="0" collapsed="false">
      <c r="A22" s="7" t="s">
        <v>57</v>
      </c>
      <c r="B22" s="23" t="n">
        <v>20000</v>
      </c>
      <c r="C22" s="16"/>
    </row>
    <row r="23" customFormat="false" ht="15" hidden="false" customHeight="false" outlineLevel="0" collapsed="false">
      <c r="A23" s="7" t="s">
        <v>58</v>
      </c>
      <c r="B23" s="20" t="n">
        <v>0.04</v>
      </c>
      <c r="C23" s="16"/>
    </row>
    <row r="24" customFormat="false" ht="15" hidden="false" customHeight="false" outlineLevel="0" collapsed="false">
      <c r="A24" s="7" t="s">
        <v>59</v>
      </c>
      <c r="B24" s="24" t="n">
        <v>50</v>
      </c>
      <c r="C24" s="16"/>
    </row>
    <row r="25" customFormat="false" ht="15" hidden="false" customHeight="false" outlineLevel="0" collapsed="false">
      <c r="A25" s="7" t="s">
        <v>60</v>
      </c>
      <c r="B25" s="20" t="n">
        <v>0.03</v>
      </c>
      <c r="C25" s="16"/>
    </row>
    <row r="27" customFormat="false" ht="15" hidden="false" customHeight="false" outlineLevel="0" collapsed="false">
      <c r="A27" s="13" t="s">
        <v>61</v>
      </c>
      <c r="B27" s="14"/>
      <c r="C27" s="14"/>
    </row>
    <row r="28" customFormat="false" ht="15" hidden="false" customHeight="false" outlineLevel="0" collapsed="false">
      <c r="A28" s="7" t="s">
        <v>62</v>
      </c>
      <c r="B28" s="24" t="n">
        <v>22</v>
      </c>
      <c r="C28" s="16" t="s">
        <v>63</v>
      </c>
    </row>
    <row r="29" customFormat="false" ht="15" hidden="false" customHeight="false" outlineLevel="0" collapsed="false">
      <c r="A29" s="7" t="s">
        <v>64</v>
      </c>
      <c r="B29" s="20" t="n">
        <v>0.03</v>
      </c>
      <c r="C29" s="16"/>
    </row>
    <row r="30" customFormat="false" ht="15" hidden="false" customHeight="false" outlineLevel="0" collapsed="false">
      <c r="A30" s="7" t="s">
        <v>65</v>
      </c>
      <c r="B30" s="21" t="n">
        <v>250000</v>
      </c>
      <c r="C30" s="16" t="s">
        <v>66</v>
      </c>
    </row>
    <row r="31" customFormat="false" ht="15" hidden="false" customHeight="false" outlineLevel="0" collapsed="false">
      <c r="A31" s="7" t="s">
        <v>67</v>
      </c>
      <c r="B31" s="20" t="n">
        <v>0.03</v>
      </c>
      <c r="C31" s="16"/>
    </row>
    <row r="33" customFormat="false" ht="15" hidden="false" customHeight="false" outlineLevel="0" collapsed="false">
      <c r="A33" s="13" t="s">
        <v>68</v>
      </c>
      <c r="B33" s="14"/>
      <c r="C33" s="14"/>
    </row>
    <row r="34" customFormat="false" ht="15" hidden="false" customHeight="false" outlineLevel="0" collapsed="false">
      <c r="A34" s="7" t="s">
        <v>69</v>
      </c>
      <c r="B34" s="22" t="n">
        <v>400000</v>
      </c>
      <c r="C34" s="16" t="s">
        <v>70</v>
      </c>
    </row>
    <row r="35" customFormat="false" ht="15" hidden="false" customHeight="false" outlineLevel="0" collapsed="false">
      <c r="A35" s="7" t="s">
        <v>71</v>
      </c>
      <c r="B35" s="20" t="n">
        <v>0.14</v>
      </c>
      <c r="C35" s="16"/>
    </row>
    <row r="36" customFormat="false" ht="15" hidden="false" customHeight="false" outlineLevel="0" collapsed="false">
      <c r="A36" s="7" t="s">
        <v>72</v>
      </c>
      <c r="B36" s="17" t="n">
        <v>5</v>
      </c>
      <c r="C36" s="16" t="s">
        <v>73</v>
      </c>
    </row>
    <row r="38" customFormat="false" ht="15" hidden="false" customHeight="false" outlineLevel="0" collapsed="false">
      <c r="A38" s="13" t="s">
        <v>74</v>
      </c>
    </row>
    <row r="39" customFormat="false" ht="15" hidden="false" customHeight="false" outlineLevel="0" collapsed="false">
      <c r="A39" s="25" t="s">
        <v>75</v>
      </c>
      <c r="D39" s="26" t="n">
        <v>1</v>
      </c>
      <c r="E39" s="26" t="n">
        <v>2</v>
      </c>
      <c r="F39" s="26" t="n">
        <v>3</v>
      </c>
      <c r="G39" s="26" t="n">
        <v>4</v>
      </c>
      <c r="H39" s="26" t="n">
        <v>5</v>
      </c>
      <c r="I39" s="26" t="n">
        <v>6</v>
      </c>
      <c r="J39" s="26" t="n">
        <v>7</v>
      </c>
      <c r="K39" s="26" t="n">
        <v>8</v>
      </c>
      <c r="L39" s="26" t="n">
        <v>9</v>
      </c>
      <c r="M39" s="26" t="n">
        <v>10</v>
      </c>
    </row>
    <row r="40" customFormat="false" ht="15" hidden="false" customHeight="false" outlineLevel="0" collapsed="false">
      <c r="A40" s="7" t="s">
        <v>76</v>
      </c>
      <c r="D40" s="27" t="n">
        <v>0.7</v>
      </c>
      <c r="E40" s="27" t="n">
        <v>0.85</v>
      </c>
      <c r="F40" s="27" t="n">
        <v>1</v>
      </c>
      <c r="G40" s="27" t="n">
        <v>1</v>
      </c>
      <c r="H40" s="27" t="n">
        <v>1</v>
      </c>
      <c r="I40" s="27" t="n">
        <v>1</v>
      </c>
      <c r="J40" s="27" t="n">
        <v>1</v>
      </c>
      <c r="K40" s="27" t="n">
        <v>1</v>
      </c>
      <c r="L40" s="27" t="n">
        <v>1</v>
      </c>
      <c r="M40" s="27" t="n">
        <v>1</v>
      </c>
    </row>
    <row r="42" customFormat="false" ht="15" hidden="false" customHeight="false" outlineLevel="0" collapsed="false">
      <c r="A42" s="28" t="s">
        <v>77</v>
      </c>
    </row>
  </sheetData>
  <dataValidations count="1">
    <dataValidation allowBlank="false" error="Enter 1 to 10 years." errorStyle="stop" operator="between" showDropDown="false" showErrorMessage="false" showInputMessage="false" sqref="B9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24D"/>
    <pageSetUpPr fitToPage="false"/>
  </sheetPr>
  <dimension ref="A1:M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0"/>
    <col collapsed="false" customWidth="true" hidden="false" outlineLevel="0" max="13" min="3" style="0" width="11"/>
  </cols>
  <sheetData>
    <row r="1" customFormat="false" ht="17.35" hidden="false" customHeight="false" outlineLevel="0" collapsed="false">
      <c r="A1" s="10" t="s">
        <v>78</v>
      </c>
    </row>
    <row r="2" customFormat="false" ht="15" hidden="false" customHeight="false" outlineLevel="0" collapsed="false">
      <c r="A2" s="2" t="str">
        <f aca="false">ProjName&amp;"   |   "&amp;Cur&amp;", nominal   |   WACC "&amp;TEXT(WACC,"0.0%")&amp;"   |   Tax "&amp;TEXT(Tax,"0%")</f>
        <v>[Example: Agro-processing plant expansion]   |   GHS, nominal   |   WACC 12.0%   |   Tax 25%</v>
      </c>
    </row>
    <row r="4" customFormat="false" ht="15" hidden="false" customHeight="false" outlineLevel="0" collapsed="false">
      <c r="A4" s="12" t="s">
        <v>79</v>
      </c>
      <c r="B4" s="12"/>
      <c r="C4" s="26" t="n">
        <v>0</v>
      </c>
      <c r="D4" s="26" t="n">
        <v>1</v>
      </c>
      <c r="E4" s="26" t="n">
        <v>2</v>
      </c>
      <c r="F4" s="26" t="n">
        <v>3</v>
      </c>
      <c r="G4" s="26" t="n">
        <v>4</v>
      </c>
      <c r="H4" s="26" t="n">
        <v>5</v>
      </c>
      <c r="I4" s="26" t="n">
        <v>6</v>
      </c>
      <c r="J4" s="26" t="n">
        <v>7</v>
      </c>
      <c r="K4" s="26" t="n">
        <v>8</v>
      </c>
      <c r="L4" s="26" t="n">
        <v>9</v>
      </c>
      <c r="M4" s="26" t="n">
        <v>10</v>
      </c>
    </row>
    <row r="5" customFormat="false" ht="15" hidden="false" customHeight="false" outlineLevel="0" collapsed="false">
      <c r="A5" s="29" t="s">
        <v>80</v>
      </c>
      <c r="C5" s="30" t="n">
        <f aca="false">Year0+C$4</f>
        <v>2027</v>
      </c>
      <c r="D5" s="30" t="n">
        <f aca="false">Year0+D$4</f>
        <v>2028</v>
      </c>
      <c r="E5" s="30" t="n">
        <f aca="false">Year0+E$4</f>
        <v>2029</v>
      </c>
      <c r="F5" s="30" t="n">
        <f aca="false">Year0+F$4</f>
        <v>2030</v>
      </c>
      <c r="G5" s="30" t="n">
        <f aca="false">Year0+G$4</f>
        <v>2031</v>
      </c>
      <c r="H5" s="30" t="n">
        <f aca="false">Year0+H$4</f>
        <v>2032</v>
      </c>
      <c r="I5" s="30" t="n">
        <f aca="false">Year0+I$4</f>
        <v>2033</v>
      </c>
      <c r="J5" s="30" t="n">
        <f aca="false">Year0+J$4</f>
        <v>2034</v>
      </c>
      <c r="K5" s="30" t="n">
        <f aca="false">Year0+K$4</f>
        <v>2035</v>
      </c>
      <c r="L5" s="30" t="n">
        <f aca="false">Year0+L$4</f>
        <v>2036</v>
      </c>
      <c r="M5" s="30" t="n">
        <f aca="false">Year0+M$4</f>
        <v>2037</v>
      </c>
    </row>
    <row r="6" customFormat="false" ht="15" hidden="false" customHeight="false" outlineLevel="0" collapsed="false">
      <c r="A6" s="29" t="s">
        <v>81</v>
      </c>
      <c r="C6" s="31" t="n">
        <f aca="false">IF(AND(C$4&gt;=1,C$4&lt;=N),1,0)</f>
        <v>0</v>
      </c>
      <c r="D6" s="31" t="n">
        <f aca="false">IF(AND(D$4&gt;=1,D$4&lt;=N),1,0)</f>
        <v>1</v>
      </c>
      <c r="E6" s="31" t="n">
        <f aca="false">IF(AND(E$4&gt;=1,E$4&lt;=N),1,0)</f>
        <v>1</v>
      </c>
      <c r="F6" s="31" t="n">
        <f aca="false">IF(AND(F$4&gt;=1,F$4&lt;=N),1,0)</f>
        <v>1</v>
      </c>
      <c r="G6" s="31" t="n">
        <f aca="false">IF(AND(G$4&gt;=1,G$4&lt;=N),1,0)</f>
        <v>1</v>
      </c>
      <c r="H6" s="31" t="n">
        <f aca="false">IF(AND(H$4&gt;=1,H$4&lt;=N),1,0)</f>
        <v>1</v>
      </c>
      <c r="I6" s="31" t="n">
        <f aca="false">IF(AND(I$4&gt;=1,I$4&lt;=N),1,0)</f>
        <v>1</v>
      </c>
      <c r="J6" s="31" t="n">
        <f aca="false">IF(AND(J$4&gt;=1,J$4&lt;=N),1,0)</f>
        <v>1</v>
      </c>
      <c r="K6" s="31" t="n">
        <f aca="false">IF(AND(K$4&gt;=1,K$4&lt;=N),1,0)</f>
        <v>1</v>
      </c>
      <c r="L6" s="31" t="n">
        <f aca="false">IF(AND(L$4&gt;=1,L$4&lt;=N),1,0)</f>
        <v>1</v>
      </c>
      <c r="M6" s="31" t="n">
        <f aca="false">IF(AND(M$4&gt;=1,M$4&lt;=N),1,0)</f>
        <v>1</v>
      </c>
    </row>
    <row r="8" customFormat="false" ht="15" hidden="false" customHeight="false" outlineLevel="0" collapsed="false">
      <c r="A8" s="13" t="s">
        <v>82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customFormat="false" ht="15" hidden="false" customHeight="false" outlineLevel="0" collapsed="false">
      <c r="A9" s="29" t="s">
        <v>83</v>
      </c>
      <c r="C9" s="32" t="n">
        <f aca="false">0</f>
        <v>0</v>
      </c>
      <c r="D9" s="32" t="n">
        <f aca="false">Vol*(1+VolG)^(D$4-1)*INDEX(Ramp,D$4)*D6</f>
        <v>14000</v>
      </c>
      <c r="E9" s="32" t="n">
        <f aca="false">Vol*(1+VolG)^(E$4-1)*INDEX(Ramp,E$4)*E6</f>
        <v>17680</v>
      </c>
      <c r="F9" s="32" t="n">
        <f aca="false">Vol*(1+VolG)^(F$4-1)*INDEX(Ramp,F$4)*F6</f>
        <v>21632</v>
      </c>
      <c r="G9" s="32" t="n">
        <f aca="false">Vol*(1+VolG)^(G$4-1)*INDEX(Ramp,G$4)*G6</f>
        <v>22497.28</v>
      </c>
      <c r="H9" s="32" t="n">
        <f aca="false">Vol*(1+VolG)^(H$4-1)*INDEX(Ramp,H$4)*H6</f>
        <v>23397.1712</v>
      </c>
      <c r="I9" s="32" t="n">
        <f aca="false">Vol*(1+VolG)^(I$4-1)*INDEX(Ramp,I$4)*I6</f>
        <v>24333.058048</v>
      </c>
      <c r="J9" s="32" t="n">
        <f aca="false">Vol*(1+VolG)^(J$4-1)*INDEX(Ramp,J$4)*J6</f>
        <v>25306.38036992</v>
      </c>
      <c r="K9" s="32" t="n">
        <f aca="false">Vol*(1+VolG)^(K$4-1)*INDEX(Ramp,K$4)*K6</f>
        <v>26318.6355847168</v>
      </c>
      <c r="L9" s="32" t="n">
        <f aca="false">Vol*(1+VolG)^(L$4-1)*INDEX(Ramp,L$4)*L6</f>
        <v>27371.3810081055</v>
      </c>
      <c r="M9" s="32" t="n">
        <f aca="false">Vol*(1+VolG)^(M$4-1)*INDEX(Ramp,M$4)*M6</f>
        <v>28466.2362484297</v>
      </c>
    </row>
    <row r="10" customFormat="false" ht="15" hidden="false" customHeight="false" outlineLevel="0" collapsed="false">
      <c r="A10" s="29" t="s">
        <v>84</v>
      </c>
      <c r="C10" s="33" t="n">
        <f aca="false">0</f>
        <v>0</v>
      </c>
      <c r="D10" s="33" t="n">
        <f aca="false">Price*(1+PriceG)^(D$4-1)*D6</f>
        <v>50</v>
      </c>
      <c r="E10" s="33" t="n">
        <f aca="false">Price*(1+PriceG)^(E$4-1)*E6</f>
        <v>51.5</v>
      </c>
      <c r="F10" s="33" t="n">
        <f aca="false">Price*(1+PriceG)^(F$4-1)*F6</f>
        <v>53.045</v>
      </c>
      <c r="G10" s="33" t="n">
        <f aca="false">Price*(1+PriceG)^(G$4-1)*G6</f>
        <v>54.63635</v>
      </c>
      <c r="H10" s="33" t="n">
        <f aca="false">Price*(1+PriceG)^(H$4-1)*H6</f>
        <v>56.2754405</v>
      </c>
      <c r="I10" s="33" t="n">
        <f aca="false">Price*(1+PriceG)^(I$4-1)*I6</f>
        <v>57.963703715</v>
      </c>
      <c r="J10" s="33" t="n">
        <f aca="false">Price*(1+PriceG)^(J$4-1)*J6</f>
        <v>59.70261482645</v>
      </c>
      <c r="K10" s="33" t="n">
        <f aca="false">Price*(1+PriceG)^(K$4-1)*K6</f>
        <v>61.4936932712435</v>
      </c>
      <c r="L10" s="33" t="n">
        <f aca="false">Price*(1+PriceG)^(L$4-1)*L6</f>
        <v>63.3385040693808</v>
      </c>
      <c r="M10" s="33" t="n">
        <f aca="false">Price*(1+PriceG)^(M$4-1)*M6</f>
        <v>65.2386591914623</v>
      </c>
    </row>
    <row r="11" customFormat="false" ht="15" hidden="false" customHeight="false" outlineLevel="0" collapsed="false">
      <c r="A11" s="34" t="s">
        <v>85</v>
      </c>
      <c r="C11" s="35" t="n">
        <f aca="false">C9*C10</f>
        <v>0</v>
      </c>
      <c r="D11" s="35" t="n">
        <f aca="false">D9*D10</f>
        <v>700000</v>
      </c>
      <c r="E11" s="35" t="n">
        <f aca="false">E9*E10</f>
        <v>910520</v>
      </c>
      <c r="F11" s="35" t="n">
        <f aca="false">F9*F10</f>
        <v>1147469.44</v>
      </c>
      <c r="G11" s="35" t="n">
        <f aca="false">G9*G10</f>
        <v>1229169.264128</v>
      </c>
      <c r="H11" s="35" t="n">
        <f aca="false">H9*H10</f>
        <v>1316686.11573391</v>
      </c>
      <c r="I11" s="35" t="n">
        <f aca="false">I9*I10</f>
        <v>1410434.16717417</v>
      </c>
      <c r="J11" s="35" t="n">
        <f aca="false">J9*J10</f>
        <v>1510857.07987697</v>
      </c>
      <c r="K11" s="35" t="n">
        <f aca="false">K9*K10</f>
        <v>1618430.10396421</v>
      </c>
      <c r="L11" s="35" t="n">
        <f aca="false">L9*L10</f>
        <v>1733662.32736646</v>
      </c>
      <c r="M11" s="35" t="n">
        <f aca="false">M9*M10</f>
        <v>1857099.08507495</v>
      </c>
    </row>
    <row r="12" customFormat="false" ht="15" hidden="false" customHeight="false" outlineLevel="0" collapsed="false">
      <c r="A12" s="29" t="s">
        <v>86</v>
      </c>
      <c r="C12" s="36" t="n">
        <f aca="false">0</f>
        <v>0</v>
      </c>
      <c r="D12" s="36" t="n">
        <f aca="false">-D9*VC*(1+VCG)^(D$4-1)</f>
        <v>-308000</v>
      </c>
      <c r="E12" s="36" t="n">
        <f aca="false">-E9*VC*(1+VCG)^(E$4-1)</f>
        <v>-400628.8</v>
      </c>
      <c r="F12" s="36" t="n">
        <f aca="false">-F9*VC*(1+VCG)^(F$4-1)</f>
        <v>-504886.5536</v>
      </c>
      <c r="G12" s="36" t="n">
        <f aca="false">-G9*VC*(1+VCG)^(G$4-1)</f>
        <v>-540834.47621632</v>
      </c>
      <c r="H12" s="36" t="n">
        <f aca="false">-H9*VC*(1+VCG)^(H$4-1)</f>
        <v>-579341.890922922</v>
      </c>
      <c r="I12" s="36" t="n">
        <f aca="false">-I9*VC*(1+VCG)^(I$4-1)</f>
        <v>-620591.033556634</v>
      </c>
      <c r="J12" s="36" t="n">
        <f aca="false">-J9*VC*(1+VCG)^(J$4-1)</f>
        <v>-664777.115145867</v>
      </c>
      <c r="K12" s="36" t="n">
        <f aca="false">-K9*VC*(1+VCG)^(K$4-1)</f>
        <v>-712109.245744252</v>
      </c>
      <c r="L12" s="36" t="n">
        <f aca="false">-L9*VC*(1+VCG)^(L$4-1)</f>
        <v>-762811.424041243</v>
      </c>
      <c r="M12" s="36" t="n">
        <f aca="false">-M9*VC*(1+VCG)^(M$4-1)</f>
        <v>-817123.59743298</v>
      </c>
    </row>
    <row r="13" customFormat="false" ht="15" hidden="false" customHeight="false" outlineLevel="0" collapsed="false">
      <c r="A13" s="29" t="s">
        <v>87</v>
      </c>
      <c r="C13" s="36" t="n">
        <f aca="false">0</f>
        <v>0</v>
      </c>
      <c r="D13" s="36" t="n">
        <f aca="false">-FC*(1+FCG)^(D$4-1)*D6</f>
        <v>-250000</v>
      </c>
      <c r="E13" s="36" t="n">
        <f aca="false">-FC*(1+FCG)^(E$4-1)*E6</f>
        <v>-257500</v>
      </c>
      <c r="F13" s="36" t="n">
        <f aca="false">-FC*(1+FCG)^(F$4-1)*F6</f>
        <v>-265225</v>
      </c>
      <c r="G13" s="36" t="n">
        <f aca="false">-FC*(1+FCG)^(G$4-1)*G6</f>
        <v>-273181.75</v>
      </c>
      <c r="H13" s="36" t="n">
        <f aca="false">-FC*(1+FCG)^(H$4-1)*H6</f>
        <v>-281377.2025</v>
      </c>
      <c r="I13" s="36" t="n">
        <f aca="false">-FC*(1+FCG)^(I$4-1)*I6</f>
        <v>-289818.518575</v>
      </c>
      <c r="J13" s="36" t="n">
        <f aca="false">-FC*(1+FCG)^(J$4-1)*J6</f>
        <v>-298513.07413225</v>
      </c>
      <c r="K13" s="36" t="n">
        <f aca="false">-FC*(1+FCG)^(K$4-1)*K6</f>
        <v>-307468.466356218</v>
      </c>
      <c r="L13" s="36" t="n">
        <f aca="false">-FC*(1+FCG)^(L$4-1)*L6</f>
        <v>-316692.520346904</v>
      </c>
      <c r="M13" s="36" t="n">
        <f aca="false">-FC*(1+FCG)^(M$4-1)*M6</f>
        <v>-326193.295957311</v>
      </c>
    </row>
    <row r="14" customFormat="false" ht="15" hidden="false" customHeight="false" outlineLevel="0" collapsed="false">
      <c r="A14" s="34" t="s">
        <v>88</v>
      </c>
      <c r="C14" s="37" t="n">
        <f aca="false">C11+C12+C13</f>
        <v>0</v>
      </c>
      <c r="D14" s="37" t="n">
        <f aca="false">D11+D12+D13</f>
        <v>142000</v>
      </c>
      <c r="E14" s="37" t="n">
        <f aca="false">E11+E12+E13</f>
        <v>252391.2</v>
      </c>
      <c r="F14" s="37" t="n">
        <f aca="false">F11+F12+F13</f>
        <v>377357.8864</v>
      </c>
      <c r="G14" s="37" t="n">
        <f aca="false">G11+G12+G13</f>
        <v>415153.03791168</v>
      </c>
      <c r="H14" s="37" t="n">
        <f aca="false">H11+H12+H13</f>
        <v>455967.022310992</v>
      </c>
      <c r="I14" s="37" t="n">
        <f aca="false">I11+I12+I13</f>
        <v>500024.615042534</v>
      </c>
      <c r="J14" s="37" t="n">
        <f aca="false">J11+J12+J13</f>
        <v>547566.890598853</v>
      </c>
      <c r="K14" s="37" t="n">
        <f aca="false">K11+K12+K13</f>
        <v>598852.39186374</v>
      </c>
      <c r="L14" s="37" t="n">
        <f aca="false">L11+L12+L13</f>
        <v>654158.382978314</v>
      </c>
      <c r="M14" s="37" t="n">
        <f aca="false">M11+M12+M13</f>
        <v>713782.191684663</v>
      </c>
    </row>
    <row r="15" customFormat="false" ht="15" hidden="false" customHeight="false" outlineLevel="0" collapsed="false">
      <c r="A15" s="29" t="s">
        <v>89</v>
      </c>
      <c r="C15" s="38" t="str">
        <f aca="false">IF(C11=0,"",C14/C11)</f>
        <v/>
      </c>
      <c r="D15" s="38" t="n">
        <f aca="false">IF(D11=0,"",D14/D11)</f>
        <v>0.202857142857143</v>
      </c>
      <c r="E15" s="38" t="n">
        <f aca="false">IF(E11=0,"",E14/E11)</f>
        <v>0.277194570135747</v>
      </c>
      <c r="F15" s="38" t="n">
        <f aca="false">IF(F11=0,"",F14/F11)</f>
        <v>0.328860946745562</v>
      </c>
      <c r="G15" s="38" t="n">
        <f aca="false">IF(G11=0,"",G14/G11)</f>
        <v>0.337750910332271</v>
      </c>
      <c r="H15" s="38" t="n">
        <f aca="false">IF(H11=0,"",H14/H11)</f>
        <v>0.346298952242569</v>
      </c>
      <c r="I15" s="38" t="n">
        <f aca="false">IF(I11=0,"",I14/I11)</f>
        <v>0.354518223310162</v>
      </c>
      <c r="J15" s="38" t="n">
        <f aca="false">IF(J11=0,"",J14/J11)</f>
        <v>0.362421368567464</v>
      </c>
      <c r="K15" s="38" t="n">
        <f aca="false">IF(K11=0,"",K14/K11)</f>
        <v>0.370020546699484</v>
      </c>
      <c r="L15" s="38" t="n">
        <f aca="false">IF(L11=0,"",L14/L11)</f>
        <v>0.377327448749504</v>
      </c>
      <c r="M15" s="38" t="n">
        <f aca="false">IF(M11=0,"",M14/M11)</f>
        <v>0.384353316105292</v>
      </c>
    </row>
    <row r="16" customFormat="false" ht="15" hidden="false" customHeight="false" outlineLevel="0" collapsed="false">
      <c r="A16" s="29" t="s">
        <v>90</v>
      </c>
      <c r="C16" s="36" t="n">
        <f aca="false">0</f>
        <v>0</v>
      </c>
      <c r="D16" s="36" t="n">
        <f aca="false">-IF(D$4&lt;=Life,(Capex0+Capex1-Salvage)/Life,0)*D6</f>
        <v>-85000</v>
      </c>
      <c r="E16" s="36" t="n">
        <f aca="false">-IF(E$4&lt;=Life,(Capex0+Capex1-Salvage)/Life,0)*E6</f>
        <v>-85000</v>
      </c>
      <c r="F16" s="36" t="n">
        <f aca="false">-IF(F$4&lt;=Life,(Capex0+Capex1-Salvage)/Life,0)*F6</f>
        <v>-85000</v>
      </c>
      <c r="G16" s="36" t="n">
        <f aca="false">-IF(G$4&lt;=Life,(Capex0+Capex1-Salvage)/Life,0)*G6</f>
        <v>-85000</v>
      </c>
      <c r="H16" s="36" t="n">
        <f aca="false">-IF(H$4&lt;=Life,(Capex0+Capex1-Salvage)/Life,0)*H6</f>
        <v>-85000</v>
      </c>
      <c r="I16" s="36" t="n">
        <f aca="false">-IF(I$4&lt;=Life,(Capex0+Capex1-Salvage)/Life,0)*I6</f>
        <v>-85000</v>
      </c>
      <c r="J16" s="36" t="n">
        <f aca="false">-IF(J$4&lt;=Life,(Capex0+Capex1-Salvage)/Life,0)*J6</f>
        <v>-85000</v>
      </c>
      <c r="K16" s="36" t="n">
        <f aca="false">-IF(K$4&lt;=Life,(Capex0+Capex1-Salvage)/Life,0)*K6</f>
        <v>-85000</v>
      </c>
      <c r="L16" s="36" t="n">
        <f aca="false">-IF(L$4&lt;=Life,(Capex0+Capex1-Salvage)/Life,0)*L6</f>
        <v>-85000</v>
      </c>
      <c r="M16" s="36" t="n">
        <f aca="false">-IF(M$4&lt;=Life,(Capex0+Capex1-Salvage)/Life,0)*M6</f>
        <v>-85000</v>
      </c>
    </row>
    <row r="17" customFormat="false" ht="15" hidden="false" customHeight="false" outlineLevel="0" collapsed="false">
      <c r="A17" s="34" t="s">
        <v>91</v>
      </c>
      <c r="C17" s="37" t="n">
        <f aca="false">C14+C16</f>
        <v>0</v>
      </c>
      <c r="D17" s="37" t="n">
        <f aca="false">D14+D16</f>
        <v>57000</v>
      </c>
      <c r="E17" s="37" t="n">
        <f aca="false">E14+E16</f>
        <v>167391.2</v>
      </c>
      <c r="F17" s="37" t="n">
        <f aca="false">F14+F16</f>
        <v>292357.8864</v>
      </c>
      <c r="G17" s="37" t="n">
        <f aca="false">G14+G16</f>
        <v>330153.03791168</v>
      </c>
      <c r="H17" s="37" t="n">
        <f aca="false">H14+H16</f>
        <v>370967.022310992</v>
      </c>
      <c r="I17" s="37" t="n">
        <f aca="false">I14+I16</f>
        <v>415024.615042534</v>
      </c>
      <c r="J17" s="37" t="n">
        <f aca="false">J14+J16</f>
        <v>462566.890598853</v>
      </c>
      <c r="K17" s="37" t="n">
        <f aca="false">K14+K16</f>
        <v>513852.39186374</v>
      </c>
      <c r="L17" s="37" t="n">
        <f aca="false">L14+L16</f>
        <v>569158.382978314</v>
      </c>
      <c r="M17" s="37" t="n">
        <f aca="false">M14+M16</f>
        <v>628782.191684663</v>
      </c>
    </row>
    <row r="18" customFormat="false" ht="15" hidden="false" customHeight="false" outlineLevel="0" collapsed="false">
      <c r="A18" s="29" t="s">
        <v>92</v>
      </c>
      <c r="C18" s="36" t="n">
        <f aca="false">-MAX(0,C17*Tax)</f>
        <v>-0</v>
      </c>
      <c r="D18" s="36" t="n">
        <f aca="false">-MAX(0,D17*Tax)</f>
        <v>-14250</v>
      </c>
      <c r="E18" s="36" t="n">
        <f aca="false">-MAX(0,E17*Tax)</f>
        <v>-41847.8</v>
      </c>
      <c r="F18" s="36" t="n">
        <f aca="false">-MAX(0,F17*Tax)</f>
        <v>-73089.4716000001</v>
      </c>
      <c r="G18" s="36" t="n">
        <f aca="false">-MAX(0,G17*Tax)</f>
        <v>-82538.25947792</v>
      </c>
      <c r="H18" s="36" t="n">
        <f aca="false">-MAX(0,H17*Tax)</f>
        <v>-92741.755577748</v>
      </c>
      <c r="I18" s="36" t="n">
        <f aca="false">-MAX(0,I17*Tax)</f>
        <v>-103756.153760634</v>
      </c>
      <c r="J18" s="36" t="n">
        <f aca="false">-MAX(0,J17*Tax)</f>
        <v>-115641.722649713</v>
      </c>
      <c r="K18" s="36" t="n">
        <f aca="false">-MAX(0,K17*Tax)</f>
        <v>-128463.097965935</v>
      </c>
      <c r="L18" s="36" t="n">
        <f aca="false">-MAX(0,L17*Tax)</f>
        <v>-142289.595744579</v>
      </c>
      <c r="M18" s="36" t="n">
        <f aca="false">-MAX(0,M17*Tax)</f>
        <v>-157195.547921166</v>
      </c>
    </row>
    <row r="19" customFormat="false" ht="15" hidden="false" customHeight="false" outlineLevel="0" collapsed="false">
      <c r="A19" s="34" t="s">
        <v>93</v>
      </c>
      <c r="C19" s="37" t="n">
        <f aca="false">C17+C18</f>
        <v>0</v>
      </c>
      <c r="D19" s="37" t="n">
        <f aca="false">D17+D18</f>
        <v>42750</v>
      </c>
      <c r="E19" s="37" t="n">
        <f aca="false">E17+E18</f>
        <v>125543.4</v>
      </c>
      <c r="F19" s="37" t="n">
        <f aca="false">F17+F18</f>
        <v>219268.4148</v>
      </c>
      <c r="G19" s="37" t="n">
        <f aca="false">G17+G18</f>
        <v>247614.77843376</v>
      </c>
      <c r="H19" s="37" t="n">
        <f aca="false">H17+H18</f>
        <v>278225.266733244</v>
      </c>
      <c r="I19" s="37" t="n">
        <f aca="false">I17+I18</f>
        <v>311268.461281901</v>
      </c>
      <c r="J19" s="37" t="n">
        <f aca="false">J17+J18</f>
        <v>346925.16794914</v>
      </c>
      <c r="K19" s="37" t="n">
        <f aca="false">K17+K18</f>
        <v>385389.293897805</v>
      </c>
      <c r="L19" s="37" t="n">
        <f aca="false">L17+L18</f>
        <v>426868.787233736</v>
      </c>
      <c r="M19" s="37" t="n">
        <f aca="false">M17+M18</f>
        <v>471586.643763498</v>
      </c>
    </row>
    <row r="21" customFormat="false" ht="15" hidden="false" customHeight="false" outlineLevel="0" collapsed="false">
      <c r="A21" s="13" t="s">
        <v>94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customFormat="false" ht="15" hidden="false" customHeight="false" outlineLevel="0" collapsed="false">
      <c r="A22" s="29" t="s">
        <v>95</v>
      </c>
      <c r="C22" s="36" t="n">
        <f aca="false">-Capex0</f>
        <v>-900000</v>
      </c>
      <c r="D22" s="36" t="n">
        <f aca="false">-Capex1</f>
        <v>-100000</v>
      </c>
      <c r="E22" s="36" t="n">
        <f aca="false">0</f>
        <v>0</v>
      </c>
      <c r="F22" s="36" t="n">
        <f aca="false">0</f>
        <v>0</v>
      </c>
      <c r="G22" s="36" t="n">
        <f aca="false">0</f>
        <v>0</v>
      </c>
      <c r="H22" s="36" t="n">
        <f aca="false">0</f>
        <v>0</v>
      </c>
      <c r="I22" s="36" t="n">
        <f aca="false">0</f>
        <v>0</v>
      </c>
      <c r="J22" s="36" t="n">
        <f aca="false">0</f>
        <v>0</v>
      </c>
      <c r="K22" s="36" t="n">
        <f aca="false">0</f>
        <v>0</v>
      </c>
      <c r="L22" s="36" t="n">
        <f aca="false">0</f>
        <v>0</v>
      </c>
      <c r="M22" s="36" t="n">
        <f aca="false">0</f>
        <v>0</v>
      </c>
    </row>
    <row r="23" customFormat="false" ht="15" hidden="false" customHeight="false" outlineLevel="0" collapsed="false">
      <c r="A23" s="29" t="s">
        <v>96</v>
      </c>
      <c r="C23" s="36" t="n">
        <f aca="false">C11*WCpct</f>
        <v>0</v>
      </c>
      <c r="D23" s="36" t="n">
        <f aca="false">D11*WCpct</f>
        <v>70000</v>
      </c>
      <c r="E23" s="36" t="n">
        <f aca="false">E11*WCpct</f>
        <v>91052</v>
      </c>
      <c r="F23" s="36" t="n">
        <f aca="false">F11*WCpct</f>
        <v>114746.944</v>
      </c>
      <c r="G23" s="36" t="n">
        <f aca="false">G11*WCpct</f>
        <v>122916.9264128</v>
      </c>
      <c r="H23" s="36" t="n">
        <f aca="false">H11*WCpct</f>
        <v>131668.611573391</v>
      </c>
      <c r="I23" s="36" t="n">
        <f aca="false">I11*WCpct</f>
        <v>141043.416717417</v>
      </c>
      <c r="J23" s="36" t="n">
        <f aca="false">J11*WCpct</f>
        <v>151085.707987697</v>
      </c>
      <c r="K23" s="36" t="n">
        <f aca="false">K11*WCpct</f>
        <v>161843.010396421</v>
      </c>
      <c r="L23" s="36" t="n">
        <f aca="false">L11*WCpct</f>
        <v>173366.232736646</v>
      </c>
      <c r="M23" s="36" t="n">
        <f aca="false">M11*WCpct</f>
        <v>185709.908507495</v>
      </c>
    </row>
    <row r="24" customFormat="false" ht="15" hidden="false" customHeight="false" outlineLevel="0" collapsed="false">
      <c r="A24" s="29" t="s">
        <v>97</v>
      </c>
      <c r="C24" s="36" t="n">
        <f aca="false">-C23</f>
        <v>-0</v>
      </c>
      <c r="D24" s="36" t="n">
        <f aca="false">-(D23-C23)+IF(D$4=N,D23,0)</f>
        <v>-70000</v>
      </c>
      <c r="E24" s="36" t="n">
        <f aca="false">-(E23-D23)+IF(E$4=N,E23,0)</f>
        <v>-21052</v>
      </c>
      <c r="F24" s="36" t="n">
        <f aca="false">-(F23-E23)+IF(F$4=N,F23,0)</f>
        <v>-23694.944</v>
      </c>
      <c r="G24" s="36" t="n">
        <f aca="false">-(G23-F23)+IF(G$4=N,G23,0)</f>
        <v>-8169.98241280002</v>
      </c>
      <c r="H24" s="36" t="n">
        <f aca="false">-(H23-G23)+IF(H$4=N,H23,0)</f>
        <v>-8751.68516059138</v>
      </c>
      <c r="I24" s="36" t="n">
        <f aca="false">-(I23-H23)+IF(I$4=N,I23,0)</f>
        <v>-9374.80514402542</v>
      </c>
      <c r="J24" s="36" t="n">
        <f aca="false">-(J23-I23)+IF(J$4=N,J23,0)</f>
        <v>-10042.2912702801</v>
      </c>
      <c r="K24" s="36" t="n">
        <f aca="false">-(K23-J23)+IF(K$4=N,K23,0)</f>
        <v>-10757.302408724</v>
      </c>
      <c r="L24" s="36" t="n">
        <f aca="false">-(L23-K23)+IF(L$4=N,L23,0)</f>
        <v>-11523.2223402252</v>
      </c>
      <c r="M24" s="36" t="n">
        <f aca="false">-(M23-L23)+IF(M$4=N,M23,0)</f>
        <v>173366.232736646</v>
      </c>
    </row>
    <row r="25" customFormat="false" ht="15" hidden="false" customHeight="false" outlineLevel="0" collapsed="false">
      <c r="A25" s="29" t="s">
        <v>98</v>
      </c>
      <c r="C25" s="36" t="n">
        <f aca="false">IF(C$4=N,Salvage,0)</f>
        <v>0</v>
      </c>
      <c r="D25" s="36" t="n">
        <f aca="false">IF(D$4=N,Salvage,0)</f>
        <v>0</v>
      </c>
      <c r="E25" s="36" t="n">
        <f aca="false">IF(E$4=N,Salvage,0)</f>
        <v>0</v>
      </c>
      <c r="F25" s="36" t="n">
        <f aca="false">IF(F$4=N,Salvage,0)</f>
        <v>0</v>
      </c>
      <c r="G25" s="36" t="n">
        <f aca="false">IF(G$4=N,Salvage,0)</f>
        <v>0</v>
      </c>
      <c r="H25" s="36" t="n">
        <f aca="false">IF(H$4=N,Salvage,0)</f>
        <v>0</v>
      </c>
      <c r="I25" s="36" t="n">
        <f aca="false">IF(I$4=N,Salvage,0)</f>
        <v>0</v>
      </c>
      <c r="J25" s="36" t="n">
        <f aca="false">IF(J$4=N,Salvage,0)</f>
        <v>0</v>
      </c>
      <c r="K25" s="36" t="n">
        <f aca="false">IF(K$4=N,Salvage,0)</f>
        <v>0</v>
      </c>
      <c r="L25" s="36" t="n">
        <f aca="false">IF(L$4=N,Salvage,0)</f>
        <v>0</v>
      </c>
      <c r="M25" s="36" t="n">
        <f aca="false">IF(M$4=N,Salvage,0)</f>
        <v>150000</v>
      </c>
    </row>
    <row r="27" customFormat="false" ht="15" hidden="false" customHeight="false" outlineLevel="0" collapsed="false">
      <c r="A27" s="13" t="s">
        <v>99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customFormat="false" ht="15" hidden="false" customHeight="false" outlineLevel="0" collapsed="false">
      <c r="A28" s="34" t="s">
        <v>100</v>
      </c>
      <c r="C28" s="39" t="n">
        <f aca="false">IF(C$4&gt;N,0,C19-C16+C22+C24+C25)</f>
        <v>-900000</v>
      </c>
      <c r="D28" s="39" t="n">
        <f aca="false">IF(D$4&gt;N,0,D19-D16+D22+D24+D25)</f>
        <v>-42250</v>
      </c>
      <c r="E28" s="39" t="n">
        <f aca="false">IF(E$4&gt;N,0,E19-E16+E22+E24+E25)</f>
        <v>189491.4</v>
      </c>
      <c r="F28" s="39" t="n">
        <f aca="false">IF(F$4&gt;N,0,F19-F16+F22+F24+F25)</f>
        <v>280573.4708</v>
      </c>
      <c r="G28" s="39" t="n">
        <f aca="false">IF(G$4&gt;N,0,G19-G16+G22+G24+G25)</f>
        <v>324444.79602096</v>
      </c>
      <c r="H28" s="39" t="n">
        <f aca="false">IF(H$4&gt;N,0,H19-H16+H22+H24+H25)</f>
        <v>354473.581572653</v>
      </c>
      <c r="I28" s="39" t="n">
        <f aca="false">IF(I$4&gt;N,0,I19-I16+I22+I24+I25)</f>
        <v>386893.656137875</v>
      </c>
      <c r="J28" s="39" t="n">
        <f aca="false">IF(J$4&gt;N,0,J19-J16+J22+J24+J25)</f>
        <v>421882.87667886</v>
      </c>
      <c r="K28" s="39" t="n">
        <f aca="false">IF(K$4&gt;N,0,K19-K16+K22+K24+K25)</f>
        <v>459631.991489081</v>
      </c>
      <c r="L28" s="39" t="n">
        <f aca="false">IF(L$4&gt;N,0,L19-L16+L22+L24+L25)</f>
        <v>500345.564893511</v>
      </c>
      <c r="M28" s="39" t="n">
        <f aca="false">IF(M$4&gt;N,0,M19-M16+M22+M24+M25)</f>
        <v>879952.876500144</v>
      </c>
    </row>
    <row r="29" customFormat="false" ht="15" hidden="false" customHeight="false" outlineLevel="0" collapsed="false">
      <c r="A29" s="29" t="s">
        <v>101</v>
      </c>
      <c r="C29" s="36" t="n">
        <f aca="false">C28</f>
        <v>-900000</v>
      </c>
      <c r="D29" s="36" t="n">
        <f aca="false">C29+D28</f>
        <v>-942250</v>
      </c>
      <c r="E29" s="36" t="n">
        <f aca="false">D29+E28</f>
        <v>-752758.6</v>
      </c>
      <c r="F29" s="36" t="n">
        <f aca="false">E29+F28</f>
        <v>-472185.1292</v>
      </c>
      <c r="G29" s="36" t="n">
        <f aca="false">F29+G28</f>
        <v>-147740.33317904</v>
      </c>
      <c r="H29" s="36" t="n">
        <f aca="false">G29+H28</f>
        <v>206733.248393613</v>
      </c>
      <c r="I29" s="36" t="n">
        <f aca="false">H29+I28</f>
        <v>593626.904531488</v>
      </c>
      <c r="J29" s="36" t="n">
        <f aca="false">I29+J28</f>
        <v>1015509.78121035</v>
      </c>
      <c r="K29" s="36" t="n">
        <f aca="false">J29+K28</f>
        <v>1475141.77269943</v>
      </c>
      <c r="L29" s="36" t="n">
        <f aca="false">K29+L28</f>
        <v>1975487.33759294</v>
      </c>
      <c r="M29" s="36" t="n">
        <f aca="false">L29+M28</f>
        <v>2855440.21409308</v>
      </c>
    </row>
    <row r="30" customFormat="false" ht="15" hidden="false" customHeight="false" outlineLevel="0" collapsed="false">
      <c r="A30" s="29" t="s">
        <v>102</v>
      </c>
      <c r="C30" s="40" t="n">
        <f aca="false">1/(1+WACC)^C$4</f>
        <v>1</v>
      </c>
      <c r="D30" s="40" t="n">
        <f aca="false">1/(1+WACC)^D$4</f>
        <v>0.892857142857143</v>
      </c>
      <c r="E30" s="40" t="n">
        <f aca="false">1/(1+WACC)^E$4</f>
        <v>0.79719387755102</v>
      </c>
      <c r="F30" s="40" t="n">
        <f aca="false">1/(1+WACC)^F$4</f>
        <v>0.711780247813411</v>
      </c>
      <c r="G30" s="40" t="n">
        <f aca="false">1/(1+WACC)^G$4</f>
        <v>0.635518078404831</v>
      </c>
      <c r="H30" s="40" t="n">
        <f aca="false">1/(1+WACC)^H$4</f>
        <v>0.567426855718599</v>
      </c>
      <c r="I30" s="40" t="n">
        <f aca="false">1/(1+WACC)^I$4</f>
        <v>0.506631121177321</v>
      </c>
      <c r="J30" s="40" t="n">
        <f aca="false">1/(1+WACC)^J$4</f>
        <v>0.452349215336893</v>
      </c>
      <c r="K30" s="40" t="n">
        <f aca="false">1/(1+WACC)^K$4</f>
        <v>0.403883227979369</v>
      </c>
      <c r="L30" s="40" t="n">
        <f aca="false">1/(1+WACC)^L$4</f>
        <v>0.360610024981579</v>
      </c>
      <c r="M30" s="40" t="n">
        <f aca="false">1/(1+WACC)^M$4</f>
        <v>0.321973236590696</v>
      </c>
    </row>
    <row r="31" customFormat="false" ht="15" hidden="false" customHeight="false" outlineLevel="0" collapsed="false">
      <c r="A31" s="29" t="s">
        <v>103</v>
      </c>
      <c r="C31" s="36" t="n">
        <f aca="false">C28*C30</f>
        <v>-900000</v>
      </c>
      <c r="D31" s="36" t="n">
        <f aca="false">D28*D30</f>
        <v>-37723.2142857143</v>
      </c>
      <c r="E31" s="36" t="n">
        <f aca="false">E28*E30</f>
        <v>151061.383928571</v>
      </c>
      <c r="F31" s="36" t="n">
        <f aca="false">F28*F30</f>
        <v>199706.654575893</v>
      </c>
      <c r="G31" s="36" t="n">
        <f aca="false">G28*G30</f>
        <v>206190.533315688</v>
      </c>
      <c r="H31" s="36" t="n">
        <f aca="false">H28*H30</f>
        <v>201137.829827081</v>
      </c>
      <c r="I31" s="36" t="n">
        <f aca="false">I28*I30</f>
        <v>196012.366785524</v>
      </c>
      <c r="J31" s="36" t="n">
        <f aca="false">J28*J30</f>
        <v>190838.388229754</v>
      </c>
      <c r="K31" s="36" t="n">
        <f aca="false">K28*K30</f>
        <v>185637.652405196</v>
      </c>
      <c r="L31" s="36" t="n">
        <f aca="false">L28*L30</f>
        <v>180429.626655671</v>
      </c>
      <c r="M31" s="36" t="n">
        <f aca="false">M28*M30</f>
        <v>283321.275694044</v>
      </c>
    </row>
    <row r="32" customFormat="false" ht="15" hidden="false" customHeight="false" outlineLevel="0" collapsed="false">
      <c r="A32" s="29" t="s">
        <v>104</v>
      </c>
      <c r="C32" s="36" t="n">
        <f aca="false">C31</f>
        <v>-900000</v>
      </c>
      <c r="D32" s="36" t="n">
        <f aca="false">C32+D31</f>
        <v>-937723.214285714</v>
      </c>
      <c r="E32" s="36" t="n">
        <f aca="false">D32+E31</f>
        <v>-786661.830357143</v>
      </c>
      <c r="F32" s="36" t="n">
        <f aca="false">E32+F31</f>
        <v>-586955.17578125</v>
      </c>
      <c r="G32" s="36" t="n">
        <f aca="false">F32+G31</f>
        <v>-380764.642465562</v>
      </c>
      <c r="H32" s="36" t="n">
        <f aca="false">G32+H31</f>
        <v>-179626.812638481</v>
      </c>
      <c r="I32" s="36" t="n">
        <f aca="false">H32+I31</f>
        <v>16385.5541470431</v>
      </c>
      <c r="J32" s="36" t="n">
        <f aca="false">I32+J31</f>
        <v>207223.942376797</v>
      </c>
      <c r="K32" s="36" t="n">
        <f aca="false">J32+K31</f>
        <v>392861.594781993</v>
      </c>
      <c r="L32" s="36" t="n">
        <f aca="false">K32+L31</f>
        <v>573291.221437664</v>
      </c>
      <c r="M32" s="36" t="n">
        <f aca="false">L32+M31</f>
        <v>856612.497131708</v>
      </c>
    </row>
    <row r="34" customFormat="false" ht="15" hidden="false" customHeight="false" outlineLevel="0" collapsed="false">
      <c r="A34" s="13" t="s">
        <v>105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customFormat="false" ht="15" hidden="false" customHeight="false" outlineLevel="0" collapsed="false">
      <c r="A35" s="29" t="s">
        <v>106</v>
      </c>
      <c r="C35" s="36" t="n">
        <f aca="false">0</f>
        <v>0</v>
      </c>
      <c r="D35" s="36" t="n">
        <f aca="false">C39</f>
        <v>400000</v>
      </c>
      <c r="E35" s="36" t="n">
        <f aca="false">D39</f>
        <v>339486.581403583</v>
      </c>
      <c r="F35" s="36" t="n">
        <f aca="false">E39</f>
        <v>270501.284203667</v>
      </c>
      <c r="G35" s="36" t="n">
        <f aca="false">F39</f>
        <v>191858.045395763</v>
      </c>
      <c r="H35" s="36" t="n">
        <f aca="false">G39</f>
        <v>102204.753154752</v>
      </c>
      <c r="I35" s="36" t="n">
        <f aca="false">H39</f>
        <v>0</v>
      </c>
      <c r="J35" s="36" t="n">
        <f aca="false">I39</f>
        <v>0</v>
      </c>
      <c r="K35" s="36" t="n">
        <f aca="false">J39</f>
        <v>0</v>
      </c>
      <c r="L35" s="36" t="n">
        <f aca="false">K39</f>
        <v>0</v>
      </c>
      <c r="M35" s="36" t="n">
        <f aca="false">L39</f>
        <v>0</v>
      </c>
    </row>
    <row r="36" customFormat="false" ht="15" hidden="false" customHeight="false" outlineLevel="0" collapsed="false">
      <c r="A36" s="29" t="s">
        <v>107</v>
      </c>
      <c r="C36" s="36" t="n">
        <f aca="false">Loan</f>
        <v>400000</v>
      </c>
      <c r="D36" s="36" t="n">
        <f aca="false">0</f>
        <v>0</v>
      </c>
      <c r="E36" s="36" t="n">
        <f aca="false">0</f>
        <v>0</v>
      </c>
      <c r="F36" s="36" t="n">
        <f aca="false">0</f>
        <v>0</v>
      </c>
      <c r="G36" s="36" t="n">
        <f aca="false">0</f>
        <v>0</v>
      </c>
      <c r="H36" s="36" t="n">
        <f aca="false">0</f>
        <v>0</v>
      </c>
      <c r="I36" s="36" t="n">
        <f aca="false">0</f>
        <v>0</v>
      </c>
      <c r="J36" s="36" t="n">
        <f aca="false">0</f>
        <v>0</v>
      </c>
      <c r="K36" s="36" t="n">
        <f aca="false">0</f>
        <v>0</v>
      </c>
      <c r="L36" s="36" t="n">
        <f aca="false">0</f>
        <v>0</v>
      </c>
      <c r="M36" s="36" t="n">
        <f aca="false">0</f>
        <v>0</v>
      </c>
    </row>
    <row r="37" customFormat="false" ht="15" hidden="false" customHeight="false" outlineLevel="0" collapsed="false">
      <c r="A37" s="29" t="s">
        <v>108</v>
      </c>
      <c r="C37" s="36" t="n">
        <f aca="false">0</f>
        <v>0</v>
      </c>
      <c r="D37" s="36" t="n">
        <f aca="false">-D35*LoanR</f>
        <v>-56000</v>
      </c>
      <c r="E37" s="36" t="n">
        <f aca="false">-E35*LoanR</f>
        <v>-47528.1213965016</v>
      </c>
      <c r="F37" s="36" t="n">
        <f aca="false">-F35*LoanR</f>
        <v>-37870.1797885134</v>
      </c>
      <c r="G37" s="36" t="n">
        <f aca="false">-G35*LoanR</f>
        <v>-26860.1263554068</v>
      </c>
      <c r="H37" s="36" t="n">
        <f aca="false">-H35*LoanR</f>
        <v>-14308.6654416653</v>
      </c>
      <c r="I37" s="36" t="n">
        <f aca="false">-I35*LoanR</f>
        <v>-0</v>
      </c>
      <c r="J37" s="36" t="n">
        <f aca="false">-J35*LoanR</f>
        <v>-0</v>
      </c>
      <c r="K37" s="36" t="n">
        <f aca="false">-K35*LoanR</f>
        <v>-0</v>
      </c>
      <c r="L37" s="36" t="n">
        <f aca="false">-L35*LoanR</f>
        <v>-0</v>
      </c>
      <c r="M37" s="36" t="n">
        <f aca="false">-M35*LoanR</f>
        <v>-0</v>
      </c>
    </row>
    <row r="38" customFormat="false" ht="15" hidden="false" customHeight="false" outlineLevel="0" collapsed="false">
      <c r="A38" s="29" t="s">
        <v>109</v>
      </c>
      <c r="C38" s="36" t="n">
        <f aca="false">0</f>
        <v>0</v>
      </c>
      <c r="D38" s="36" t="n">
        <f aca="false">IF(AND(D$4&lt;=Tenor,D35&gt;0),-MIN(D35,PMT(LoanR,Tenor,-Loan)-D35*LoanR),0)</f>
        <v>-60513.4185964174</v>
      </c>
      <c r="E38" s="36" t="n">
        <f aca="false">IF(AND(E$4&lt;=Tenor,E35&gt;0),-MIN(E35,PMT(LoanR,Tenor,-Loan)-E35*LoanR),0)</f>
        <v>-68985.2971999158</v>
      </c>
      <c r="F38" s="36" t="n">
        <f aca="false">IF(AND(F$4&lt;=Tenor,F35&gt;0),-MIN(F35,PMT(LoanR,Tenor,-Loan)-F35*LoanR),0)</f>
        <v>-78643.238807904</v>
      </c>
      <c r="G38" s="36" t="n">
        <f aca="false">IF(AND(G$4&lt;=Tenor,G35&gt;0),-MIN(G35,PMT(LoanR,Tenor,-Loan)-G35*LoanR),0)</f>
        <v>-89653.2922410106</v>
      </c>
      <c r="H38" s="36" t="n">
        <f aca="false">IF(AND(H$4&lt;=Tenor,H35&gt;0),-MIN(H35,PMT(LoanR,Tenor,-Loan)-H35*LoanR),0)</f>
        <v>-102204.753154752</v>
      </c>
      <c r="I38" s="36" t="n">
        <f aca="false">IF(AND(I$4&lt;=Tenor,I35&gt;0),-MIN(I35,PMT(LoanR,Tenor,-Loan)-I35*LoanR),0)</f>
        <v>0</v>
      </c>
      <c r="J38" s="36" t="n">
        <f aca="false">IF(AND(J$4&lt;=Tenor,J35&gt;0),-MIN(J35,PMT(LoanR,Tenor,-Loan)-J35*LoanR),0)</f>
        <v>0</v>
      </c>
      <c r="K38" s="36" t="n">
        <f aca="false">IF(AND(K$4&lt;=Tenor,K35&gt;0),-MIN(K35,PMT(LoanR,Tenor,-Loan)-K35*LoanR),0)</f>
        <v>0</v>
      </c>
      <c r="L38" s="36" t="n">
        <f aca="false">IF(AND(L$4&lt;=Tenor,L35&gt;0),-MIN(L35,PMT(LoanR,Tenor,-Loan)-L35*LoanR),0)</f>
        <v>0</v>
      </c>
      <c r="M38" s="36" t="n">
        <f aca="false">IF(AND(M$4&lt;=Tenor,M35&gt;0),-MIN(M35,PMT(LoanR,Tenor,-Loan)-M35*LoanR),0)</f>
        <v>0</v>
      </c>
    </row>
    <row r="39" customFormat="false" ht="15" hidden="false" customHeight="false" outlineLevel="0" collapsed="false">
      <c r="A39" s="29" t="s">
        <v>110</v>
      </c>
      <c r="C39" s="36" t="n">
        <f aca="false">C35+C36+C38</f>
        <v>400000</v>
      </c>
      <c r="D39" s="36" t="n">
        <f aca="false">D35+D36+D38</f>
        <v>339486.581403583</v>
      </c>
      <c r="E39" s="36" t="n">
        <f aca="false">E35+E36+E38</f>
        <v>270501.284203667</v>
      </c>
      <c r="F39" s="36" t="n">
        <f aca="false">F35+F36+F38</f>
        <v>191858.045395763</v>
      </c>
      <c r="G39" s="36" t="n">
        <f aca="false">G35+G36+G38</f>
        <v>102204.753154752</v>
      </c>
      <c r="H39" s="36" t="n">
        <f aca="false">H35+H36+H38</f>
        <v>0</v>
      </c>
      <c r="I39" s="36" t="n">
        <f aca="false">I35+I36+I38</f>
        <v>0</v>
      </c>
      <c r="J39" s="36" t="n">
        <f aca="false">J35+J36+J38</f>
        <v>0</v>
      </c>
      <c r="K39" s="36" t="n">
        <f aca="false">K35+K36+K38</f>
        <v>0</v>
      </c>
      <c r="L39" s="36" t="n">
        <f aca="false">L35+L36+L38</f>
        <v>0</v>
      </c>
      <c r="M39" s="36" t="n">
        <f aca="false">M35+M36+M38</f>
        <v>0</v>
      </c>
    </row>
    <row r="40" customFormat="false" ht="15" hidden="false" customHeight="false" outlineLevel="0" collapsed="false">
      <c r="A40" s="29" t="s">
        <v>111</v>
      </c>
      <c r="C40" s="36" t="n">
        <f aca="false">-(C37+C38)</f>
        <v>-0</v>
      </c>
      <c r="D40" s="36" t="n">
        <f aca="false">-(D37+D38)</f>
        <v>116513.418596417</v>
      </c>
      <c r="E40" s="36" t="n">
        <f aca="false">-(E37+E38)</f>
        <v>116513.418596417</v>
      </c>
      <c r="F40" s="36" t="n">
        <f aca="false">-(F37+F38)</f>
        <v>116513.418596417</v>
      </c>
      <c r="G40" s="36" t="n">
        <f aca="false">-(G37+G38)</f>
        <v>116513.418596417</v>
      </c>
      <c r="H40" s="36" t="n">
        <f aca="false">-(H37+H38)</f>
        <v>116513.418596417</v>
      </c>
      <c r="I40" s="36" t="n">
        <f aca="false">-(I37+I38)</f>
        <v>-0</v>
      </c>
      <c r="J40" s="36" t="n">
        <f aca="false">-(J37+J38)</f>
        <v>-0</v>
      </c>
      <c r="K40" s="36" t="n">
        <f aca="false">-(K37+K38)</f>
        <v>-0</v>
      </c>
      <c r="L40" s="36" t="n">
        <f aca="false">-(L37+L38)</f>
        <v>-0</v>
      </c>
      <c r="M40" s="36" t="n">
        <f aca="false">-(M37+M38)</f>
        <v>-0</v>
      </c>
    </row>
    <row r="41" customFormat="false" ht="15" hidden="false" customHeight="false" outlineLevel="0" collapsed="false">
      <c r="A41" s="29" t="s">
        <v>112</v>
      </c>
      <c r="C41" s="41" t="str">
        <f aca="false">IF(C40=0,"",(C14+C18)/C40)</f>
        <v/>
      </c>
      <c r="D41" s="41" t="n">
        <f aca="false">IF(D40=0,"",(D14+D18)/D40)</f>
        <v>1.09644023442917</v>
      </c>
      <c r="E41" s="41" t="n">
        <f aca="false">IF(E40=0,"",(E14+E18)/E40)</f>
        <v>1.80703134914689</v>
      </c>
      <c r="F41" s="41" t="n">
        <f aca="false">IF(F40=0,"",(F14+F18)/F40)</f>
        <v>2.61144526068653</v>
      </c>
      <c r="G41" s="41" t="n">
        <f aca="false">IF(G40=0,"",(G14+G18)/G40)</f>
        <v>2.85473366450504</v>
      </c>
      <c r="H41" s="41" t="n">
        <f aca="false">IF(H40=0,"",(H14+H18)/H40)</f>
        <v>3.1174543765761</v>
      </c>
      <c r="I41" s="41" t="str">
        <f aca="false">IF(I40=0,"",(I14+I18)/I40)</f>
        <v/>
      </c>
      <c r="J41" s="41" t="str">
        <f aca="false">IF(J40=0,"",(J14+J18)/J40)</f>
        <v/>
      </c>
      <c r="K41" s="41" t="str">
        <f aca="false">IF(K40=0,"",(K14+K18)/K40)</f>
        <v/>
      </c>
      <c r="L41" s="41" t="str">
        <f aca="false">IF(L40=0,"",(L14+L18)/L40)</f>
        <v/>
      </c>
      <c r="M41" s="41" t="str">
        <f aca="false">IF(M40=0,"",(M14+M18)/M40)</f>
        <v/>
      </c>
    </row>
    <row r="42" customFormat="false" ht="15" hidden="false" customHeight="false" outlineLevel="0" collapsed="false">
      <c r="A42" s="34" t="s">
        <v>113</v>
      </c>
      <c r="C42" s="39" t="n">
        <f aca="false">C28+C36+C37*(1-Tax)+C38</f>
        <v>-500000</v>
      </c>
      <c r="D42" s="39" t="n">
        <f aca="false">D28+D36+D37*(1-Tax)+D38</f>
        <v>-144763.418596417</v>
      </c>
      <c r="E42" s="39" t="n">
        <f aca="false">E28+E36+E37*(1-Tax)+E38</f>
        <v>84860.011752708</v>
      </c>
      <c r="F42" s="39" t="n">
        <f aca="false">F28+F36+F37*(1-Tax)+F38</f>
        <v>173527.597150711</v>
      </c>
      <c r="G42" s="39" t="n">
        <f aca="false">G28+G36+G37*(1-Tax)+G38</f>
        <v>214646.409013394</v>
      </c>
      <c r="H42" s="39" t="n">
        <f aca="false">H28+H36+H37*(1-Tax)+H38</f>
        <v>241537.329336651</v>
      </c>
      <c r="I42" s="39" t="n">
        <f aca="false">I28+I36+I37*(1-Tax)+I38</f>
        <v>386893.656137875</v>
      </c>
      <c r="J42" s="39" t="n">
        <f aca="false">J28+J36+J37*(1-Tax)+J38</f>
        <v>421882.87667886</v>
      </c>
      <c r="K42" s="39" t="n">
        <f aca="false">K28+K36+K37*(1-Tax)+K38</f>
        <v>459631.991489081</v>
      </c>
      <c r="L42" s="39" t="n">
        <f aca="false">L28+L36+L37*(1-Tax)+L38</f>
        <v>500345.564893511</v>
      </c>
      <c r="M42" s="39" t="n">
        <f aca="false">M28+M36+M37*(1-Tax)+M38</f>
        <v>879952.876500144</v>
      </c>
    </row>
    <row r="43" customFormat="false" ht="15" hidden="false" customHeight="false" outlineLevel="0" collapsed="false">
      <c r="A43" s="29" t="s">
        <v>114</v>
      </c>
      <c r="C43" s="40" t="n">
        <f aca="false">1/(1+Ke)^C$4</f>
        <v>1</v>
      </c>
      <c r="D43" s="40" t="n">
        <f aca="false">1/(1+Ke)^D$4</f>
        <v>0.862068965517241</v>
      </c>
      <c r="E43" s="40" t="n">
        <f aca="false">1/(1+Ke)^E$4</f>
        <v>0.743162901307967</v>
      </c>
      <c r="F43" s="40" t="n">
        <f aca="false">1/(1+Ke)^F$4</f>
        <v>0.640657673541351</v>
      </c>
      <c r="G43" s="40" t="n">
        <f aca="false">1/(1+Ke)^G$4</f>
        <v>0.552291097880475</v>
      </c>
      <c r="H43" s="40" t="n">
        <f aca="false">1/(1+Ke)^H$4</f>
        <v>0.476113015414203</v>
      </c>
      <c r="I43" s="40" t="n">
        <f aca="false">1/(1+Ke)^I$4</f>
        <v>0.410442254667416</v>
      </c>
      <c r="J43" s="40" t="n">
        <f aca="false">1/(1+Ke)^J$4</f>
        <v>0.353829529885703</v>
      </c>
      <c r="K43" s="40" t="n">
        <f aca="false">1/(1+Ke)^K$4</f>
        <v>0.30502545679802</v>
      </c>
      <c r="L43" s="40" t="n">
        <f aca="false">1/(1+Ke)^L$4</f>
        <v>0.262952979998293</v>
      </c>
      <c r="M43" s="40" t="n">
        <f aca="false">1/(1+Ke)^M$4</f>
        <v>0.226683603446805</v>
      </c>
    </row>
    <row r="44" customFormat="false" ht="15" hidden="false" customHeight="false" outlineLevel="0" collapsed="false">
      <c r="A44" s="29" t="s">
        <v>115</v>
      </c>
      <c r="C44" s="36" t="n">
        <f aca="false">C42*C43</f>
        <v>-500000</v>
      </c>
      <c r="D44" s="36" t="n">
        <f aca="false">D42*D43</f>
        <v>-124796.050514153</v>
      </c>
      <c r="E44" s="36" t="n">
        <f aca="false">E42*E43</f>
        <v>63064.8125391707</v>
      </c>
      <c r="F44" s="36" t="n">
        <f aca="false">F42*F43</f>
        <v>111171.786685795</v>
      </c>
      <c r="G44" s="36" t="n">
        <f aca="false">G42*G43</f>
        <v>118547.300890109</v>
      </c>
      <c r="H44" s="36" t="n">
        <f aca="false">H42*H43</f>
        <v>114999.066205566</v>
      </c>
      <c r="I44" s="36" t="n">
        <f aca="false">I42*I43</f>
        <v>158797.504541749</v>
      </c>
      <c r="J44" s="36" t="n">
        <f aca="false">J42*J43</f>
        <v>149274.619922109</v>
      </c>
      <c r="K44" s="36" t="n">
        <f aca="false">K42*K43</f>
        <v>140199.458162941</v>
      </c>
      <c r="L44" s="36" t="n">
        <f aca="false">L42*L43</f>
        <v>131567.357317678</v>
      </c>
      <c r="M44" s="36" t="n">
        <f aca="false">M42*M43</f>
        <v>199470.888908434</v>
      </c>
    </row>
    <row r="46" customFormat="false" ht="15" hidden="false" customHeight="false" outlineLevel="0" collapsed="false">
      <c r="A46" s="13" t="s">
        <v>116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customFormat="false" ht="15" hidden="false" customHeight="false" outlineLevel="0" collapsed="false">
      <c r="A47" s="29" t="s">
        <v>117</v>
      </c>
      <c r="C47" s="42" t="str">
        <f aca="false">""</f>
        <v/>
      </c>
      <c r="D47" s="42" t="str">
        <f aca="false">IF(AND(D$4&lt;=N,D29&gt;=0,C29&lt;0),D$4-1+(-C29/D28),"")</f>
        <v/>
      </c>
      <c r="E47" s="42" t="str">
        <f aca="false">IF(AND(E$4&lt;=N,E29&gt;=0,D29&lt;0),E$4-1+(-D29/E28),"")</f>
        <v/>
      </c>
      <c r="F47" s="42" t="str">
        <f aca="false">IF(AND(F$4&lt;=N,F29&gt;=0,E29&lt;0),F$4-1+(-E29/F28),"")</f>
        <v/>
      </c>
      <c r="G47" s="42" t="str">
        <f aca="false">IF(AND(G$4&lt;=N,G29&gt;=0,F29&lt;0),G$4-1+(-F29/G28),"")</f>
        <v/>
      </c>
      <c r="H47" s="42" t="n">
        <f aca="false">IF(AND(H$4&lt;=N,H29&gt;=0,G29&lt;0),H$4-1+(-G29/H28),"")</f>
        <v>4.41678799453425</v>
      </c>
      <c r="I47" s="42" t="str">
        <f aca="false">IF(AND(I$4&lt;=N,I29&gt;=0,H29&lt;0),I$4-1+(-H29/I28),"")</f>
        <v/>
      </c>
      <c r="J47" s="42" t="str">
        <f aca="false">IF(AND(J$4&lt;=N,J29&gt;=0,I29&lt;0),J$4-1+(-I29/J28),"")</f>
        <v/>
      </c>
      <c r="K47" s="42" t="str">
        <f aca="false">IF(AND(K$4&lt;=N,K29&gt;=0,J29&lt;0),K$4-1+(-J29/K28),"")</f>
        <v/>
      </c>
      <c r="L47" s="42" t="str">
        <f aca="false">IF(AND(L$4&lt;=N,L29&gt;=0,K29&lt;0),L$4-1+(-K29/L28),"")</f>
        <v/>
      </c>
      <c r="M47" s="42" t="str">
        <f aca="false">IF(AND(M$4&lt;=N,M29&gt;=0,L29&lt;0),M$4-1+(-L29/M28),"")</f>
        <v/>
      </c>
    </row>
    <row r="48" customFormat="false" ht="15" hidden="false" customHeight="false" outlineLevel="0" collapsed="false">
      <c r="A48" s="29" t="s">
        <v>118</v>
      </c>
      <c r="C48" s="42" t="str">
        <f aca="false">""</f>
        <v/>
      </c>
      <c r="D48" s="42" t="str">
        <f aca="false">IF(AND(D$4&lt;=N,D32&gt;=0,C32&lt;0),D$4-1+(-C32/D31),"")</f>
        <v/>
      </c>
      <c r="E48" s="42" t="str">
        <f aca="false">IF(AND(E$4&lt;=N,E32&gt;=0,D32&lt;0),E$4-1+(-D32/E31),"")</f>
        <v/>
      </c>
      <c r="F48" s="42" t="str">
        <f aca="false">IF(AND(F$4&lt;=N,F32&gt;=0,E32&lt;0),F$4-1+(-E32/F31),"")</f>
        <v/>
      </c>
      <c r="G48" s="42" t="str">
        <f aca="false">IF(AND(G$4&lt;=N,G32&gt;=0,F32&lt;0),G$4-1+(-F32/G31),"")</f>
        <v/>
      </c>
      <c r="H48" s="42" t="str">
        <f aca="false">IF(AND(H$4&lt;=N,H32&gt;=0,G32&lt;0),H$4-1+(-G32/H31),"")</f>
        <v/>
      </c>
      <c r="I48" s="42" t="n">
        <f aca="false">IF(AND(I$4&lt;=N,I32&gt;=0,H32&lt;0),I$4-1+(-H32/I31),"")</f>
        <v>5.9164055084087</v>
      </c>
      <c r="J48" s="42" t="str">
        <f aca="false">IF(AND(J$4&lt;=N,J32&gt;=0,I32&lt;0),J$4-1+(-I32/J31),"")</f>
        <v/>
      </c>
      <c r="K48" s="42" t="str">
        <f aca="false">IF(AND(K$4&lt;=N,K32&gt;=0,J32&lt;0),K$4-1+(-J32/K31),"")</f>
        <v/>
      </c>
      <c r="L48" s="42" t="str">
        <f aca="false">IF(AND(L$4&lt;=N,L32&gt;=0,K32&lt;0),L$4-1+(-K32/L31),"")</f>
        <v/>
      </c>
      <c r="M48" s="42" t="str">
        <f aca="false">IF(AND(M$4&lt;=N,M32&gt;=0,L32&lt;0),M$4-1+(-L32/M31),"")</f>
        <v/>
      </c>
    </row>
  </sheetData>
  <conditionalFormatting sqref="C5:M44">
    <cfRule type="cellIs" priority="2" operator="lessThan" aboveAverage="0" equalAverage="0" bottom="0" percent="0" rank="0" text="" dxfId="0">
      <formula>0</formula>
    </cfRule>
  </conditionalFormatting>
  <conditionalFormatting sqref="D41:M41">
    <cfRule type="cellIs" priority="3" operator="lessThan" aboveAverage="0" equalAverage="0" bottom="0" percent="0" rank="0" text="" dxfId="1">
      <formula>1.2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56"/>
  </cols>
  <sheetData>
    <row r="1" customFormat="false" ht="17.35" hidden="false" customHeight="false" outlineLevel="0" collapsed="false">
      <c r="A1" s="10" t="s">
        <v>119</v>
      </c>
    </row>
    <row r="2" customFormat="false" ht="15" hidden="false" customHeight="false" outlineLevel="0" collapsed="false">
      <c r="A2" s="2" t="str">
        <f aca="false">ProjName&amp;"   |   "&amp;Cur</f>
        <v>[Example: Agro-processing plant expansion]   |   GHS</v>
      </c>
    </row>
    <row r="4" customFormat="false" ht="15" hidden="false" customHeight="false" outlineLevel="0" collapsed="false">
      <c r="A4" s="12" t="s">
        <v>120</v>
      </c>
      <c r="B4" s="43" t="s">
        <v>121</v>
      </c>
      <c r="C4" s="12" t="s">
        <v>122</v>
      </c>
    </row>
    <row r="5" customFormat="false" ht="15" hidden="false" customHeight="false" outlineLevel="0" collapsed="false">
      <c r="A5" s="13" t="s">
        <v>123</v>
      </c>
      <c r="B5" s="14"/>
      <c r="C5" s="14"/>
    </row>
    <row r="6" customFormat="false" ht="15" hidden="false" customHeight="false" outlineLevel="0" collapsed="false">
      <c r="A6" s="7" t="s">
        <v>124</v>
      </c>
      <c r="B6" s="44" t="n">
        <f aca="false">Capex0+Capex1</f>
        <v>1000000</v>
      </c>
      <c r="C6" s="16"/>
    </row>
    <row r="7" customFormat="false" ht="15" hidden="false" customHeight="false" outlineLevel="0" collapsed="false">
      <c r="A7" s="7" t="s">
        <v>125</v>
      </c>
      <c r="B7" s="45" t="n">
        <f aca="false">SUMPRODUCT('Cash Flow Model'!$C$28:$M$28,R_df)</f>
        <v>856612.497131708</v>
      </c>
      <c r="C7" s="16" t="s">
        <v>126</v>
      </c>
    </row>
    <row r="8" customFormat="false" ht="15" hidden="false" customHeight="false" outlineLevel="0" collapsed="false">
      <c r="A8" s="7" t="s">
        <v>127</v>
      </c>
      <c r="B8" s="46" t="n">
        <f aca="false">IFERROR(IRR('Cash Flow Model'!$C$28:$M$28,0.1),"n/a")</f>
        <v>0.252157842754007</v>
      </c>
      <c r="C8" s="16" t="s">
        <v>128</v>
      </c>
    </row>
    <row r="9" customFormat="false" ht="15" hidden="false" customHeight="false" outlineLevel="0" collapsed="false">
      <c r="A9" s="7" t="s">
        <v>129</v>
      </c>
      <c r="B9" s="47" t="n">
        <f aca="false">IFERROR(MIRR('Cash Flow Model'!$C$28:$M$28,WACC,Reinv),"n/a")</f>
        <v>0.187139904834994</v>
      </c>
      <c r="C9" s="16" t="s">
        <v>130</v>
      </c>
    </row>
    <row r="10" customFormat="false" ht="15" hidden="false" customHeight="false" outlineLevel="0" collapsed="false">
      <c r="A10" s="7" t="s">
        <v>131</v>
      </c>
      <c r="B10" s="48" t="n">
        <f aca="false">IFERROR(1+B7/SUMPRODUCT(-(R_capex)*R_df),0)</f>
        <v>1.86588988879739</v>
      </c>
      <c r="C10" s="16" t="s">
        <v>132</v>
      </c>
    </row>
    <row r="11" customFormat="false" ht="15" hidden="false" customHeight="false" outlineLevel="0" collapsed="false">
      <c r="A11" s="7" t="s">
        <v>133</v>
      </c>
      <c r="B11" s="49" t="n">
        <f aca="false">IF(COUNT('Cash Flow Model'!$D$47:$M$47)=0,"Beyond period",MIN('Cash Flow Model'!$D$47:$M$47))</f>
        <v>4.41678799453425</v>
      </c>
      <c r="C11" s="16" t="s">
        <v>134</v>
      </c>
    </row>
    <row r="12" customFormat="false" ht="15" hidden="false" customHeight="false" outlineLevel="0" collapsed="false">
      <c r="A12" s="7" t="s">
        <v>135</v>
      </c>
      <c r="B12" s="49" t="n">
        <f aca="false">IF(COUNT('Cash Flow Model'!$D$48:$M$48)=0,"Beyond period",MIN('Cash Flow Model'!$D$48:$M$48))</f>
        <v>5.9164055084087</v>
      </c>
      <c r="C12" s="16" t="s">
        <v>136</v>
      </c>
    </row>
    <row r="13" customFormat="false" ht="15" hidden="false" customHeight="false" outlineLevel="0" collapsed="false">
      <c r="A13" s="7" t="s">
        <v>137</v>
      </c>
      <c r="B13" s="47" t="n">
        <f aca="false">IFERROR(SUM(R_ebitda)/SUM(R_rev),0)</f>
        <v>0.346668159601353</v>
      </c>
      <c r="C13" s="16"/>
    </row>
    <row r="14" customFormat="false" ht="15" hidden="false" customHeight="false" outlineLevel="0" collapsed="false">
      <c r="A14" s="13" t="s">
        <v>138</v>
      </c>
      <c r="B14" s="14"/>
      <c r="C14" s="14"/>
    </row>
    <row r="15" customFormat="false" ht="15" hidden="false" customHeight="false" outlineLevel="0" collapsed="false">
      <c r="A15" s="7" t="s">
        <v>139</v>
      </c>
      <c r="B15" s="44" t="n">
        <f aca="false">-'Cash Flow Model'!C42</f>
        <v>500000</v>
      </c>
      <c r="C15" s="16" t="s">
        <v>140</v>
      </c>
    </row>
    <row r="16" customFormat="false" ht="15" hidden="false" customHeight="false" outlineLevel="0" collapsed="false">
      <c r="A16" s="7" t="s">
        <v>141</v>
      </c>
      <c r="B16" s="44" t="n">
        <f aca="false">SUMPRODUCT('Cash Flow Model'!$C$42:$M$42,'Cash Flow Model'!$C$43:$M$43)</f>
        <v>562296.744659399</v>
      </c>
      <c r="C16" s="16" t="s">
        <v>142</v>
      </c>
    </row>
    <row r="17" customFormat="false" ht="15" hidden="false" customHeight="false" outlineLevel="0" collapsed="false">
      <c r="A17" s="7" t="s">
        <v>143</v>
      </c>
      <c r="B17" s="47" t="n">
        <f aca="false">IFERROR(IRR('Cash Flow Model'!$C$42:$M$42,0.15),"n/a")</f>
        <v>0.289679664133654</v>
      </c>
      <c r="C17" s="16" t="s">
        <v>144</v>
      </c>
    </row>
    <row r="18" customFormat="false" ht="15" hidden="false" customHeight="false" outlineLevel="0" collapsed="false">
      <c r="A18" s="7" t="s">
        <v>145</v>
      </c>
      <c r="B18" s="50" t="n">
        <f aca="false">IFERROR(MIN('Cash Flow Model'!$D$41:$M$41),"n/a")</f>
        <v>1.09644023442917</v>
      </c>
      <c r="C18" s="16" t="s">
        <v>146</v>
      </c>
    </row>
    <row r="19" customFormat="false" ht="15" hidden="false" customHeight="false" outlineLevel="0" collapsed="false">
      <c r="A19" s="7" t="s">
        <v>147</v>
      </c>
      <c r="B19" s="50" t="n">
        <f aca="false">IFERROR(AVERAGE('Cash Flow Model'!$D$41:$M$41),"n/a")</f>
        <v>2.29742097706874</v>
      </c>
      <c r="C19" s="16"/>
    </row>
    <row r="20" customFormat="false" ht="15" hidden="false" customHeight="false" outlineLevel="0" collapsed="false">
      <c r="A20" s="13" t="s">
        <v>148</v>
      </c>
      <c r="B20" s="14"/>
      <c r="C20" s="14"/>
    </row>
    <row r="21" customFormat="false" ht="15" hidden="false" customHeight="false" outlineLevel="0" collapsed="false">
      <c r="A21" s="7" t="s">
        <v>149</v>
      </c>
      <c r="B21" s="51" t="str">
        <f aca="false">IF(AND(B7&gt;0,ISNUMBER(B8),B8&gt;WACC),"Financially viable – invest",IF(B7&gt;0,"Marginal – review assumptions","Not viable at the required return"))</f>
        <v>Financially viable – invest</v>
      </c>
      <c r="C21" s="51"/>
    </row>
    <row r="22" customFormat="false" ht="15" hidden="false" customHeight="false" outlineLevel="0" collapsed="false">
      <c r="A22" s="52" t="s">
        <v>150</v>
      </c>
    </row>
    <row r="23" customFormat="false" ht="15" hidden="false" customHeight="false" outlineLevel="0" collapsed="false">
      <c r="A23" s="12" t="s">
        <v>151</v>
      </c>
      <c r="B23" s="43" t="s">
        <v>152</v>
      </c>
    </row>
    <row r="24" customFormat="false" ht="15" hidden="false" customHeight="false" outlineLevel="0" collapsed="false">
      <c r="A24" s="53" t="n">
        <v>0.06</v>
      </c>
      <c r="B24" s="54" t="n">
        <f aca="false">SUMPRODUCT('Cash Flow Model'!$C$28:$M$28/(1+A24)^YrRow)</f>
        <v>1615451.65329502</v>
      </c>
    </row>
    <row r="25" customFormat="false" ht="15" hidden="false" customHeight="false" outlineLevel="0" collapsed="false">
      <c r="A25" s="53" t="n">
        <v>0.08</v>
      </c>
      <c r="B25" s="54" t="n">
        <f aca="false">SUMPRODUCT('Cash Flow Model'!$C$28:$M$28/(1+A25)^YrRow)</f>
        <v>1321975.4991153</v>
      </c>
    </row>
    <row r="26" customFormat="false" ht="15" hidden="false" customHeight="false" outlineLevel="0" collapsed="false">
      <c r="A26" s="53" t="n">
        <v>0.1</v>
      </c>
      <c r="B26" s="54" t="n">
        <f aca="false">SUMPRODUCT('Cash Flow Model'!$C$28:$M$28/(1+A26)^YrRow)</f>
        <v>1071455.75061517</v>
      </c>
    </row>
    <row r="27" customFormat="false" ht="15" hidden="false" customHeight="false" outlineLevel="0" collapsed="false">
      <c r="A27" s="53" t="n">
        <v>0.12</v>
      </c>
      <c r="B27" s="54" t="n">
        <f aca="false">SUMPRODUCT('Cash Flow Model'!$C$28:$M$28/(1+A27)^YrRow)</f>
        <v>856612.497131708</v>
      </c>
    </row>
    <row r="28" customFormat="false" ht="15" hidden="false" customHeight="false" outlineLevel="0" collapsed="false">
      <c r="A28" s="53" t="n">
        <v>0.14</v>
      </c>
      <c r="B28" s="54" t="n">
        <f aca="false">SUMPRODUCT('Cash Flow Model'!$C$28:$M$28/(1+A28)^YrRow)</f>
        <v>671538.933512171</v>
      </c>
    </row>
    <row r="29" customFormat="false" ht="15" hidden="false" customHeight="false" outlineLevel="0" collapsed="false">
      <c r="A29" s="53" t="n">
        <v>0.16</v>
      </c>
      <c r="B29" s="54" t="n">
        <f aca="false">SUMPRODUCT('Cash Flow Model'!$C$28:$M$28/(1+A29)^YrRow)</f>
        <v>511419.399120117</v>
      </c>
    </row>
    <row r="30" customFormat="false" ht="15" hidden="false" customHeight="false" outlineLevel="0" collapsed="false">
      <c r="A30" s="53" t="n">
        <v>0.18</v>
      </c>
      <c r="B30" s="54" t="n">
        <f aca="false">SUMPRODUCT('Cash Flow Model'!$C$28:$M$28/(1+A30)^YrRow)</f>
        <v>372309.582553379</v>
      </c>
    </row>
    <row r="32" customFormat="false" ht="15" hidden="false" customHeight="false" outlineLevel="0" collapsed="false">
      <c r="A32" s="55" t="s">
        <v>153</v>
      </c>
    </row>
  </sheetData>
  <mergeCells count="1">
    <mergeCell ref="B21:C21"/>
  </mergeCells>
  <conditionalFormatting sqref="B21">
    <cfRule type="expression" priority="2" aboveAverage="0" equalAverage="0" bottom="0" percent="0" rank="0" text="" dxfId="2">
      <formula>LEFT($B$21,3)="Fin"</formula>
    </cfRule>
    <cfRule type="expression" priority="3" aboveAverage="0" equalAverage="0" bottom="0" percent="0" rank="0" text="" dxfId="3">
      <formula>LEFT($B$21,3)="Mar"</formula>
    </cfRule>
    <cfRule type="expression" priority="4" aboveAverage="0" equalAverage="0" bottom="0" percent="0" rank="0" text="" dxfId="4">
      <formula>LEFT($B$21,3)="Not"</formula>
    </cfRule>
  </conditionalFormatting>
  <conditionalFormatting sqref="B7">
    <cfRule type="cellIs" priority="5" operator="lessThan" aboveAverage="0" equalAverage="0" bottom="0" percent="0" rank="0" text="" dxfId="5">
      <formula>0</formula>
    </cfRule>
  </conditionalFormatting>
  <conditionalFormatting sqref="B24:B30">
    <cfRule type="cellIs" priority="6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R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3"/>
    <col collapsed="false" customWidth="true" hidden="false" outlineLevel="0" max="7" min="7" style="0" width="14"/>
    <col collapsed="false" customWidth="true" hidden="false" outlineLevel="0" max="18" min="8" style="0" width="9"/>
  </cols>
  <sheetData>
    <row r="1" customFormat="false" ht="17.35" hidden="false" customHeight="false" outlineLevel="0" collapsed="false">
      <c r="A1" s="10" t="s">
        <v>154</v>
      </c>
    </row>
    <row r="2" customFormat="false" ht="15" hidden="false" customHeight="false" outlineLevel="0" collapsed="false">
      <c r="A2" s="11" t="s">
        <v>155</v>
      </c>
    </row>
    <row r="4" customFormat="false" ht="15" hidden="false" customHeight="false" outlineLevel="0" collapsed="false">
      <c r="A4" s="12" t="s">
        <v>156</v>
      </c>
      <c r="B4" s="56" t="n">
        <v>-0.2</v>
      </c>
      <c r="C4" s="56" t="n">
        <v>-0.1</v>
      </c>
      <c r="D4" s="56" t="n">
        <v>0</v>
      </c>
      <c r="E4" s="56" t="n">
        <v>0.1</v>
      </c>
      <c r="F4" s="56" t="n">
        <v>0.2</v>
      </c>
      <c r="G4" s="43" t="s">
        <v>157</v>
      </c>
    </row>
    <row r="5" customFormat="false" ht="15" hidden="false" customHeight="false" outlineLevel="0" collapsed="false">
      <c r="A5" s="25" t="s">
        <v>158</v>
      </c>
      <c r="B5" s="54" t="n">
        <f aca="false">SUMPRODUCT($H40:$R40,R_df)</f>
        <v>-196790.171536172</v>
      </c>
      <c r="C5" s="54" t="n">
        <f aca="false">SUMPRODUCT($H41:$R41,R_df)</f>
        <v>337738.889200829</v>
      </c>
      <c r="D5" s="54" t="n">
        <f aca="false">SUMPRODUCT($H42:$R42,R_df)</f>
        <v>856612.497131708</v>
      </c>
      <c r="E5" s="54" t="n">
        <f aca="false">SUMPRODUCT($H43:$R43,R_df)</f>
        <v>1372584.3193483</v>
      </c>
      <c r="F5" s="54" t="n">
        <f aca="false">SUMPRODUCT($H44:$R44,R_df)</f>
        <v>1888556.14156489</v>
      </c>
      <c r="G5" s="44" t="n">
        <f aca="false">MAX(B5:F5)-MIN(B5:F5)</f>
        <v>2085346.31310107</v>
      </c>
    </row>
    <row r="6" customFormat="false" ht="15" hidden="false" customHeight="false" outlineLevel="0" collapsed="false">
      <c r="A6" s="25" t="s">
        <v>159</v>
      </c>
      <c r="B6" s="54" t="n">
        <f aca="false">SUMPRODUCT($H45:$R45,R_df)</f>
        <v>279955.841754354</v>
      </c>
      <c r="C6" s="54" t="n">
        <f aca="false">SUMPRODUCT($H46:$R46,R_df)</f>
        <v>570672.562300174</v>
      </c>
      <c r="D6" s="54" t="n">
        <f aca="false">SUMPRODUCT($H47:$R47,R_df)</f>
        <v>856612.497131708</v>
      </c>
      <c r="E6" s="54" t="n">
        <f aca="false">SUMPRODUCT($H48:$R48,R_df)</f>
        <v>1142552.43196324</v>
      </c>
      <c r="F6" s="54" t="n">
        <f aca="false">SUMPRODUCT($H49:$R49,R_df)</f>
        <v>1428492.36679478</v>
      </c>
      <c r="G6" s="44" t="n">
        <f aca="false">MAX(B6:F6)-MIN(B6:F6)</f>
        <v>1148536.52504042</v>
      </c>
    </row>
    <row r="7" customFormat="false" ht="15" hidden="false" customHeight="false" outlineLevel="0" collapsed="false">
      <c r="A7" s="25" t="s">
        <v>160</v>
      </c>
      <c r="B7" s="54" t="n">
        <f aca="false">SUMPRODUCT($H50:$R50,R_df)</f>
        <v>1316676.27190183</v>
      </c>
      <c r="C7" s="54" t="n">
        <f aca="false">SUMPRODUCT($H51:$R51,R_df)</f>
        <v>1086644.38451677</v>
      </c>
      <c r="D7" s="54" t="n">
        <f aca="false">SUMPRODUCT($H52:$R52,R_df)</f>
        <v>856612.497131708</v>
      </c>
      <c r="E7" s="54" t="n">
        <f aca="false">SUMPRODUCT($H53:$R53,R_df)</f>
        <v>626580.609746649</v>
      </c>
      <c r="F7" s="54" t="n">
        <f aca="false">SUMPRODUCT($H54:$R54,R_df)</f>
        <v>395521.936647305</v>
      </c>
      <c r="G7" s="44" t="n">
        <f aca="false">MAX(B7:F7)-MIN(B7:F7)</f>
        <v>921154.335254521</v>
      </c>
    </row>
    <row r="8" customFormat="false" ht="15" hidden="false" customHeight="false" outlineLevel="0" collapsed="false">
      <c r="A8" s="25" t="s">
        <v>87</v>
      </c>
      <c r="B8" s="54" t="n">
        <f aca="false">SUMPRODUCT($H55:$R55,R_df)</f>
        <v>1092985.36947976</v>
      </c>
      <c r="C8" s="54" t="n">
        <f aca="false">SUMPRODUCT($H56:$R56,R_df)</f>
        <v>974798.933305734</v>
      </c>
      <c r="D8" s="54" t="n">
        <f aca="false">SUMPRODUCT($H57:$R57,R_df)</f>
        <v>856612.497131708</v>
      </c>
      <c r="E8" s="54" t="n">
        <f aca="false">SUMPRODUCT($H58:$R58,R_df)</f>
        <v>738426.060957682</v>
      </c>
      <c r="F8" s="54" t="n">
        <f aca="false">SUMPRODUCT($H59:$R59,R_df)</f>
        <v>620239.624783657</v>
      </c>
      <c r="G8" s="44" t="n">
        <f aca="false">MAX(B8:F8)-MIN(B8:F8)</f>
        <v>472745.744696103</v>
      </c>
    </row>
    <row r="9" customFormat="false" ht="15" hidden="false" customHeight="false" outlineLevel="0" collapsed="false">
      <c r="A9" s="25" t="s">
        <v>95</v>
      </c>
      <c r="B9" s="54" t="n">
        <f aca="false">SUMPRODUCT($H60:$R60,R_df)</f>
        <v>1020796.99502038</v>
      </c>
      <c r="C9" s="54" t="n">
        <f aca="false">SUMPRODUCT($H61:$R61,R_df)</f>
        <v>938704.746076046</v>
      </c>
      <c r="D9" s="54" t="n">
        <f aca="false">SUMPRODUCT($H62:$R62,R_df)</f>
        <v>856612.497131708</v>
      </c>
      <c r="E9" s="54" t="n">
        <f aca="false">SUMPRODUCT($H63:$R63,R_df)</f>
        <v>774520.24818737</v>
      </c>
      <c r="F9" s="54" t="n">
        <f aca="false">SUMPRODUCT($H64:$R64,R_df)</f>
        <v>692427.999243032</v>
      </c>
      <c r="G9" s="44" t="n">
        <f aca="false">MAX(B9:F9)-MIN(B9:F9)</f>
        <v>328368.995777352</v>
      </c>
    </row>
    <row r="10" customFormat="false" ht="15" hidden="false" customHeight="false" outlineLevel="0" collapsed="false">
      <c r="A10" s="25" t="s">
        <v>161</v>
      </c>
      <c r="B10" s="54" t="n">
        <f aca="false">SUMPRODUCT(R_fcf/(1+WACC*(1+B$4))^YrRow)</f>
        <v>1118494.42823894</v>
      </c>
      <c r="C10" s="54" t="n">
        <f aca="false">SUMPRODUCT(R_fcf/(1+WACC*(1+C$4))^YrRow)</f>
        <v>981595.446303262</v>
      </c>
      <c r="D10" s="54" t="n">
        <f aca="false">SUMPRODUCT(R_fcf/(1+WACC*(1+D$4))^YrRow)</f>
        <v>856612.497131708</v>
      </c>
      <c r="E10" s="54" t="n">
        <f aca="false">SUMPRODUCT(R_fcf/(1+WACC*(1+E$4))^YrRow)</f>
        <v>742325.829425732</v>
      </c>
      <c r="F10" s="54" t="n">
        <f aca="false">SUMPRODUCT(R_fcf/(1+WACC*(1+F$4))^YrRow)</f>
        <v>637656.254699722</v>
      </c>
      <c r="G10" s="44" t="n">
        <f aca="false">MAX(B10:F10)-MIN(B10:F10)</f>
        <v>480838.173539216</v>
      </c>
    </row>
    <row r="12" customFormat="false" ht="15" hidden="false" customHeight="false" outlineLevel="0" collapsed="false">
      <c r="A12" s="55" t="s">
        <v>162</v>
      </c>
    </row>
    <row r="39" customFormat="false" ht="15" hidden="false" customHeight="false" outlineLevel="0" collapsed="false">
      <c r="A39" s="57" t="s">
        <v>163</v>
      </c>
      <c r="H39" s="58" t="n">
        <f aca="false">'Cash Flow Model'!C4</f>
        <v>0</v>
      </c>
      <c r="I39" s="58" t="n">
        <f aca="false">'Cash Flow Model'!D4</f>
        <v>1</v>
      </c>
      <c r="J39" s="58" t="n">
        <f aca="false">'Cash Flow Model'!E4</f>
        <v>2</v>
      </c>
      <c r="K39" s="58" t="n">
        <f aca="false">'Cash Flow Model'!F4</f>
        <v>3</v>
      </c>
      <c r="L39" s="58" t="n">
        <f aca="false">'Cash Flow Model'!G4</f>
        <v>4</v>
      </c>
      <c r="M39" s="58" t="n">
        <f aca="false">'Cash Flow Model'!H4</f>
        <v>5</v>
      </c>
      <c r="N39" s="58" t="n">
        <f aca="false">'Cash Flow Model'!I4</f>
        <v>6</v>
      </c>
      <c r="O39" s="58" t="n">
        <f aca="false">'Cash Flow Model'!J4</f>
        <v>7</v>
      </c>
      <c r="P39" s="58" t="n">
        <f aca="false">'Cash Flow Model'!K4</f>
        <v>8</v>
      </c>
      <c r="Q39" s="58" t="n">
        <f aca="false">'Cash Flow Model'!L4</f>
        <v>9</v>
      </c>
      <c r="R39" s="58" t="n">
        <f aca="false">'Cash Flow Model'!M4</f>
        <v>10</v>
      </c>
    </row>
    <row r="40" customFormat="false" ht="15" hidden="false" customHeight="false" outlineLevel="0" collapsed="false">
      <c r="A40" s="59" t="str">
        <f aca="false">$A5&amp;" "&amp;TEXT(B$4,"+0%;-0%;0%")</f>
        <v>Selling price -20%</v>
      </c>
      <c r="H40" s="60" t="n">
        <f aca="false">IF('Cash Flow Model'!C$4&gt;N,0,('Cash Flow Model'!C11*(1+B$4)*1+'Cash Flow Model'!C12*1*1+'Cash Flow Model'!C13*1+'Cash Flow Model'!C16*1)-MAX(0,('Cash Flow Model'!C11*(1+B$4)*1+'Cash Flow Model'!C12*1*1+'Cash Flow Model'!C13*1+'Cash Flow Model'!C16*1)*Tax)-'Cash Flow Model'!C16*1+'Cash Flow Model'!C22*1+'Cash Flow Model'!C24*(1+B$4)*1+'Cash Flow Model'!C25*1)</f>
        <v>-900000</v>
      </c>
      <c r="I40" s="60" t="n">
        <f aca="false">IF('Cash Flow Model'!D$4&gt;N,0,('Cash Flow Model'!D11*(1+B$4)*1+'Cash Flow Model'!D12*1*1+'Cash Flow Model'!D13*1+'Cash Flow Model'!D16*1)-MAX(0,('Cash Flow Model'!D11*(1+B$4)*1+'Cash Flow Model'!D12*1*1+'Cash Flow Model'!D13*1+'Cash Flow Model'!D16*1)*Tax)-'Cash Flow Model'!D16*1+'Cash Flow Model'!D22*1+'Cash Flow Model'!D24*(1+B$4)*1+'Cash Flow Model'!D25*1)</f>
        <v>-154000</v>
      </c>
      <c r="J40" s="60" t="n">
        <f aca="false">IF('Cash Flow Model'!E$4&gt;N,0,('Cash Flow Model'!E11*(1+B$4)*1+'Cash Flow Model'!E12*1*1+'Cash Flow Model'!E13*1+'Cash Flow Model'!E16*1)-MAX(0,('Cash Flow Model'!E11*(1+B$4)*1+'Cash Flow Model'!E12*1*1+'Cash Flow Model'!E13*1+'Cash Flow Model'!E16*1)*Tax)-'Cash Flow Model'!E16*1+'Cash Flow Model'!E22*1+'Cash Flow Model'!E24*(1+B$4)*1+'Cash Flow Model'!E25*1)</f>
        <v>53445.6</v>
      </c>
      <c r="K40" s="60" t="n">
        <f aca="false">IF('Cash Flow Model'!F$4&gt;N,0,('Cash Flow Model'!F11*(1+B$4)*1+'Cash Flow Model'!F12*1*1+'Cash Flow Model'!F13*1+'Cash Flow Model'!F16*1)-MAX(0,('Cash Flow Model'!F11*(1+B$4)*1+'Cash Flow Model'!F12*1*1+'Cash Flow Model'!F13*1+'Cash Flow Model'!F16*1)*Tax)-'Cash Flow Model'!F16*1+'Cash Flow Model'!F22*1+'Cash Flow Model'!F24*(1+B$4)*1+'Cash Flow Model'!F25*1)</f>
        <v>113192.0436</v>
      </c>
      <c r="L40" s="60" t="n">
        <f aca="false">IF('Cash Flow Model'!G$4&gt;N,0,('Cash Flow Model'!G11*(1+B$4)*1+'Cash Flow Model'!G12*1*1+'Cash Flow Model'!G13*1+'Cash Flow Model'!G16*1)-MAX(0,('Cash Flow Model'!G11*(1+B$4)*1+'Cash Flow Model'!G12*1*1+'Cash Flow Model'!G13*1+'Cash Flow Model'!G16*1)*Tax)-'Cash Flow Model'!G16*1+'Cash Flow Model'!G22*1+'Cash Flow Model'!G24*(1+B$4)*1+'Cash Flow Model'!G25*1)</f>
        <v>141703.40288432</v>
      </c>
      <c r="M40" s="60" t="n">
        <f aca="false">IF('Cash Flow Model'!H$4&gt;N,0,('Cash Flow Model'!H11*(1+B$4)*1+'Cash Flow Model'!H12*1*1+'Cash Flow Model'!H13*1+'Cash Flow Model'!H16*1)-MAX(0,('Cash Flow Model'!H11*(1+B$4)*1+'Cash Flow Model'!H12*1*1+'Cash Flow Model'!H13*1+'Cash Flow Model'!H16*1)*Tax)-'Cash Flow Model'!H16*1+'Cash Flow Model'!H22*1+'Cash Flow Model'!H24*(1+B$4)*1+'Cash Flow Model'!H25*1)</f>
        <v>158721.001244684</v>
      </c>
      <c r="N40" s="60" t="n">
        <f aca="false">IF('Cash Flow Model'!I$4&gt;N,0,('Cash Flow Model'!I11*(1+B$4)*1+'Cash Flow Model'!I12*1*1+'Cash Flow Model'!I13*1+'Cash Flow Model'!I16*1)-MAX(0,('Cash Flow Model'!I11*(1+B$4)*1+'Cash Flow Model'!I12*1*1+'Cash Flow Model'!I13*1+'Cash Flow Model'!I16*1)*Tax)-'Cash Flow Model'!I16*1+'Cash Flow Model'!I22*1+'Cash Flow Model'!I24*(1+B$4)*1+'Cash Flow Model'!I25*1)</f>
        <v>177203.492090555</v>
      </c>
      <c r="O40" s="60" t="n">
        <f aca="false">IF('Cash Flow Model'!J$4&gt;N,0,('Cash Flow Model'!J11*(1+B$4)*1+'Cash Flow Model'!J12*1*1+'Cash Flow Model'!J13*1+'Cash Flow Model'!J16*1)-MAX(0,('Cash Flow Model'!J11*(1+B$4)*1+'Cash Flow Model'!J12*1*1+'Cash Flow Model'!J13*1+'Cash Flow Model'!J16*1)*Tax)-'Cash Flow Model'!J16*1+'Cash Flow Model'!J22*1+'Cash Flow Model'!J24*(1+B$4)*1+'Cash Flow Model'!J25*1)</f>
        <v>197262.77295137</v>
      </c>
      <c r="P40" s="60" t="n">
        <f aca="false">IF('Cash Flow Model'!K$4&gt;N,0,('Cash Flow Model'!K11*(1+B$4)*1+'Cash Flow Model'!K12*1*1+'Cash Flow Model'!K13*1+'Cash Flow Model'!K16*1)-MAX(0,('Cash Flow Model'!K11*(1+B$4)*1+'Cash Flow Model'!K12*1*1+'Cash Flow Model'!K13*1+'Cash Flow Model'!K16*1)*Tax)-'Cash Flow Model'!K16*1+'Cash Flow Model'!K22*1+'Cash Flow Model'!K24*(1+B$4)*1+'Cash Flow Model'!K25*1)</f>
        <v>219018.936376194</v>
      </c>
      <c r="Q40" s="60" t="n">
        <f aca="false">IF('Cash Flow Model'!L$4&gt;N,0,('Cash Flow Model'!L11*(1+B$4)*1+'Cash Flow Model'!L12*1*1+'Cash Flow Model'!L13*1+'Cash Flow Model'!L16*1)-MAX(0,('Cash Flow Model'!L11*(1+B$4)*1+'Cash Flow Model'!L12*1*1+'Cash Flow Model'!L13*1+'Cash Flow Model'!L16*1)*Tax)-'Cash Flow Model'!L16*1+'Cash Flow Model'!L22*1+'Cash Flow Model'!L24*(1+B$4)*1+'Cash Flow Model'!L25*1)</f>
        <v>242600.860256587</v>
      </c>
      <c r="R40" s="60" t="n">
        <f aca="false">IF('Cash Flow Model'!M$4&gt;N,0,('Cash Flow Model'!M11*(1+B$4)*1+'Cash Flow Model'!M12*1*1+'Cash Flow Model'!M13*1+'Cash Flow Model'!M16*1)-MAX(0,('Cash Flow Model'!M11*(1+B$4)*1+'Cash Flow Model'!M12*1*1+'Cash Flow Model'!M13*1+'Cash Flow Model'!M16*1)*Tax)-'Cash Flow Model'!M16*1+'Cash Flow Model'!M22*1+'Cash Flow Model'!M24*(1+B$4)*1+'Cash Flow Model'!M25*1)</f>
        <v>566714.767191571</v>
      </c>
    </row>
    <row r="41" customFormat="false" ht="15" hidden="false" customHeight="false" outlineLevel="0" collapsed="false">
      <c r="A41" s="59" t="str">
        <f aca="false">$A5&amp;" "&amp;TEXT(C$4,"+0%;-0%;0%")</f>
        <v>Selling price -10%</v>
      </c>
      <c r="H41" s="60" t="n">
        <f aca="false">IF('Cash Flow Model'!C$4&gt;N,0,('Cash Flow Model'!C11*(1+C$4)*1+'Cash Flow Model'!C12*1*1+'Cash Flow Model'!C13*1+'Cash Flow Model'!C16*1)-MAX(0,('Cash Flow Model'!C11*(1+C$4)*1+'Cash Flow Model'!C12*1*1+'Cash Flow Model'!C13*1+'Cash Flow Model'!C16*1)*Tax)-'Cash Flow Model'!C16*1+'Cash Flow Model'!C22*1+'Cash Flow Model'!C24*(1+C$4)*1+'Cash Flow Model'!C25*1)</f>
        <v>-900000</v>
      </c>
      <c r="I41" s="60" t="n">
        <f aca="false">IF('Cash Flow Model'!D$4&gt;N,0,('Cash Flow Model'!D11*(1+C$4)*1+'Cash Flow Model'!D12*1*1+'Cash Flow Model'!D13*1+'Cash Flow Model'!D16*1)-MAX(0,('Cash Flow Model'!D11*(1+C$4)*1+'Cash Flow Model'!D12*1*1+'Cash Flow Model'!D13*1+'Cash Flow Model'!D16*1)*Tax)-'Cash Flow Model'!D16*1+'Cash Flow Model'!D22*1+'Cash Flow Model'!D24*(1+C$4)*1+'Cash Flow Model'!D25*1)</f>
        <v>-91000</v>
      </c>
      <c r="J41" s="60" t="n">
        <f aca="false">IF('Cash Flow Model'!E$4&gt;N,0,('Cash Flow Model'!E11*(1+C$4)*1+'Cash Flow Model'!E12*1*1+'Cash Flow Model'!E13*1+'Cash Flow Model'!E16*1)-MAX(0,('Cash Flow Model'!E11*(1+C$4)*1+'Cash Flow Model'!E12*1*1+'Cash Flow Model'!E13*1+'Cash Flow Model'!E16*1)*Tax)-'Cash Flow Model'!E16*1+'Cash Flow Model'!E22*1+'Cash Flow Model'!E24*(1+C$4)*1+'Cash Flow Model'!E25*1)</f>
        <v>123307.6</v>
      </c>
      <c r="K41" s="60" t="n">
        <f aca="false">IF('Cash Flow Model'!F$4&gt;N,0,('Cash Flow Model'!F11*(1+C$4)*1+'Cash Flow Model'!F12*1*1+'Cash Flow Model'!F13*1+'Cash Flow Model'!F16*1)-MAX(0,('Cash Flow Model'!F11*(1+C$4)*1+'Cash Flow Model'!F12*1*1+'Cash Flow Model'!F13*1+'Cash Flow Model'!F16*1)*Tax)-'Cash Flow Model'!F16*1+'Cash Flow Model'!F22*1+'Cash Flow Model'!F24*(1+C$4)*1+'Cash Flow Model'!F25*1)</f>
        <v>196882.7572</v>
      </c>
      <c r="L41" s="60" t="n">
        <f aca="false">IF('Cash Flow Model'!G$4&gt;N,0,('Cash Flow Model'!G11*(1+C$4)*1+'Cash Flow Model'!G12*1*1+'Cash Flow Model'!G13*1+'Cash Flow Model'!G16*1)-MAX(0,('Cash Flow Model'!G11*(1+C$4)*1+'Cash Flow Model'!G12*1*1+'Cash Flow Model'!G13*1+'Cash Flow Model'!G16*1)*Tax)-'Cash Flow Model'!G16*1+'Cash Flow Model'!G22*1+'Cash Flow Model'!G24*(1+C$4)*1+'Cash Flow Model'!G25*1)</f>
        <v>233074.09945264</v>
      </c>
      <c r="M41" s="60" t="n">
        <f aca="false">IF('Cash Flow Model'!H$4&gt;N,0,('Cash Flow Model'!H11*(1+C$4)*1+'Cash Flow Model'!H12*1*1+'Cash Flow Model'!H13*1+'Cash Flow Model'!H16*1)-MAX(0,('Cash Flow Model'!H11*(1+C$4)*1+'Cash Flow Model'!H12*1*1+'Cash Flow Model'!H13*1+'Cash Flow Model'!H16*1)*Tax)-'Cash Flow Model'!H16*1+'Cash Flow Model'!H22*1+'Cash Flow Model'!H24*(1+C$4)*1+'Cash Flow Model'!H25*1)</f>
        <v>256597.291408668</v>
      </c>
      <c r="N41" s="60" t="n">
        <f aca="false">IF('Cash Flow Model'!I$4&gt;N,0,('Cash Flow Model'!I11*(1+C$4)*1+'Cash Flow Model'!I12*1*1+'Cash Flow Model'!I13*1+'Cash Flow Model'!I16*1)-MAX(0,('Cash Flow Model'!I11*(1+C$4)*1+'Cash Flow Model'!I12*1*1+'Cash Flow Model'!I13*1+'Cash Flow Model'!I16*1)*Tax)-'Cash Flow Model'!I16*1+'Cash Flow Model'!I22*1+'Cash Flow Model'!I24*(1+C$4)*1+'Cash Flow Model'!I25*1)</f>
        <v>282048.574114215</v>
      </c>
      <c r="O41" s="60" t="n">
        <f aca="false">IF('Cash Flow Model'!J$4&gt;N,0,('Cash Flow Model'!J11*(1+C$4)*1+'Cash Flow Model'!J12*1*1+'Cash Flow Model'!J13*1+'Cash Flow Model'!J16*1)-MAX(0,('Cash Flow Model'!J11*(1+C$4)*1+'Cash Flow Model'!J12*1*1+'Cash Flow Model'!J13*1+'Cash Flow Model'!J16*1)*Tax)-'Cash Flow Model'!J16*1+'Cash Flow Model'!J22*1+'Cash Flow Model'!J24*(1+C$4)*1+'Cash Flow Model'!J25*1)</f>
        <v>309572.824815115</v>
      </c>
      <c r="P41" s="60" t="n">
        <f aca="false">IF('Cash Flow Model'!K$4&gt;N,0,('Cash Flow Model'!K11*(1+C$4)*1+'Cash Flow Model'!K12*1*1+'Cash Flow Model'!K13*1+'Cash Flow Model'!K16*1)-MAX(0,('Cash Flow Model'!K11*(1+C$4)*1+'Cash Flow Model'!K12*1*1+'Cash Flow Model'!K13*1+'Cash Flow Model'!K16*1)*Tax)-'Cash Flow Model'!K16*1+'Cash Flow Model'!K22*1+'Cash Flow Model'!K24*(1+C$4)*1+'Cash Flow Model'!K25*1)</f>
        <v>339325.463932638</v>
      </c>
      <c r="Q41" s="60" t="n">
        <f aca="false">IF('Cash Flow Model'!L$4&gt;N,0,('Cash Flow Model'!L11*(1+C$4)*1+'Cash Flow Model'!L12*1*1+'Cash Flow Model'!L13*1+'Cash Flow Model'!L16*1)-MAX(0,('Cash Flow Model'!L11*(1+C$4)*1+'Cash Flow Model'!L12*1*1+'Cash Flow Model'!L13*1+'Cash Flow Model'!L16*1)*Tax)-'Cash Flow Model'!L16*1+'Cash Flow Model'!L22*1+'Cash Flow Model'!L24*(1+C$4)*1+'Cash Flow Model'!L25*1)</f>
        <v>371473.212575048</v>
      </c>
      <c r="R41" s="60" t="n">
        <f aca="false">IF('Cash Flow Model'!M$4&gt;N,0,('Cash Flow Model'!M11*(1+C$4)*1+'Cash Flow Model'!M12*1*1+'Cash Flow Model'!M13*1+'Cash Flow Model'!M16*1)-MAX(0,('Cash Flow Model'!M11*(1+C$4)*1+'Cash Flow Model'!M12*1*1+'Cash Flow Model'!M13*1+'Cash Flow Model'!M16*1)*Tax)-'Cash Flow Model'!M16*1+'Cash Flow Model'!M22*1+'Cash Flow Model'!M24*(1+C$4)*1+'Cash Flow Model'!M25*1)</f>
        <v>723333.821845857</v>
      </c>
    </row>
    <row r="42" customFormat="false" ht="15" hidden="false" customHeight="false" outlineLevel="0" collapsed="false">
      <c r="A42" s="59" t="str">
        <f aca="false">$A5&amp;" "&amp;TEXT(D$4,"+0%;-0%;0%")</f>
        <v>Selling price 0%</v>
      </c>
      <c r="H42" s="60" t="n">
        <f aca="false">IF('Cash Flow Model'!C$4&gt;N,0,('Cash Flow Model'!C11*(1+D$4)*1+'Cash Flow Model'!C12*1*1+'Cash Flow Model'!C13*1+'Cash Flow Model'!C16*1)-MAX(0,('Cash Flow Model'!C11*(1+D$4)*1+'Cash Flow Model'!C12*1*1+'Cash Flow Model'!C13*1+'Cash Flow Model'!C16*1)*Tax)-'Cash Flow Model'!C16*1+'Cash Flow Model'!C22*1+'Cash Flow Model'!C24*(1+D$4)*1+'Cash Flow Model'!C25*1)</f>
        <v>-900000</v>
      </c>
      <c r="I42" s="60" t="n">
        <f aca="false">IF('Cash Flow Model'!D$4&gt;N,0,('Cash Flow Model'!D11*(1+D$4)*1+'Cash Flow Model'!D12*1*1+'Cash Flow Model'!D13*1+'Cash Flow Model'!D16*1)-MAX(0,('Cash Flow Model'!D11*(1+D$4)*1+'Cash Flow Model'!D12*1*1+'Cash Flow Model'!D13*1+'Cash Flow Model'!D16*1)*Tax)-'Cash Flow Model'!D16*1+'Cash Flow Model'!D22*1+'Cash Flow Model'!D24*(1+D$4)*1+'Cash Flow Model'!D25*1)</f>
        <v>-42250</v>
      </c>
      <c r="J42" s="60" t="n">
        <f aca="false">IF('Cash Flow Model'!E$4&gt;N,0,('Cash Flow Model'!E11*(1+D$4)*1+'Cash Flow Model'!E12*1*1+'Cash Flow Model'!E13*1+'Cash Flow Model'!E16*1)-MAX(0,('Cash Flow Model'!E11*(1+D$4)*1+'Cash Flow Model'!E12*1*1+'Cash Flow Model'!E13*1+'Cash Flow Model'!E16*1)*Tax)-'Cash Flow Model'!E16*1+'Cash Flow Model'!E22*1+'Cash Flow Model'!E24*(1+D$4)*1+'Cash Flow Model'!E25*1)</f>
        <v>189491.4</v>
      </c>
      <c r="K42" s="60" t="n">
        <f aca="false">IF('Cash Flow Model'!F$4&gt;N,0,('Cash Flow Model'!F11*(1+D$4)*1+'Cash Flow Model'!F12*1*1+'Cash Flow Model'!F13*1+'Cash Flow Model'!F16*1)-MAX(0,('Cash Flow Model'!F11*(1+D$4)*1+'Cash Flow Model'!F12*1*1+'Cash Flow Model'!F13*1+'Cash Flow Model'!F16*1)*Tax)-'Cash Flow Model'!F16*1+'Cash Flow Model'!F22*1+'Cash Flow Model'!F24*(1+D$4)*1+'Cash Flow Model'!F25*1)</f>
        <v>280573.4708</v>
      </c>
      <c r="L42" s="60" t="n">
        <f aca="false">IF('Cash Flow Model'!G$4&gt;N,0,('Cash Flow Model'!G11*(1+D$4)*1+'Cash Flow Model'!G12*1*1+'Cash Flow Model'!G13*1+'Cash Flow Model'!G16*1)-MAX(0,('Cash Flow Model'!G11*(1+D$4)*1+'Cash Flow Model'!G12*1*1+'Cash Flow Model'!G13*1+'Cash Flow Model'!G16*1)*Tax)-'Cash Flow Model'!G16*1+'Cash Flow Model'!G22*1+'Cash Flow Model'!G24*(1+D$4)*1+'Cash Flow Model'!G25*1)</f>
        <v>324444.79602096</v>
      </c>
      <c r="M42" s="60" t="n">
        <f aca="false">IF('Cash Flow Model'!H$4&gt;N,0,('Cash Flow Model'!H11*(1+D$4)*1+'Cash Flow Model'!H12*1*1+'Cash Flow Model'!H13*1+'Cash Flow Model'!H16*1)-MAX(0,('Cash Flow Model'!H11*(1+D$4)*1+'Cash Flow Model'!H12*1*1+'Cash Flow Model'!H13*1+'Cash Flow Model'!H16*1)*Tax)-'Cash Flow Model'!H16*1+'Cash Flow Model'!H22*1+'Cash Flow Model'!H24*(1+D$4)*1+'Cash Flow Model'!H25*1)</f>
        <v>354473.581572653</v>
      </c>
      <c r="N42" s="60" t="n">
        <f aca="false">IF('Cash Flow Model'!I$4&gt;N,0,('Cash Flow Model'!I11*(1+D$4)*1+'Cash Flow Model'!I12*1*1+'Cash Flow Model'!I13*1+'Cash Flow Model'!I16*1)-MAX(0,('Cash Flow Model'!I11*(1+D$4)*1+'Cash Flow Model'!I12*1*1+'Cash Flow Model'!I13*1+'Cash Flow Model'!I16*1)*Tax)-'Cash Flow Model'!I16*1+'Cash Flow Model'!I22*1+'Cash Flow Model'!I24*(1+D$4)*1+'Cash Flow Model'!I25*1)</f>
        <v>386893.656137875</v>
      </c>
      <c r="O42" s="60" t="n">
        <f aca="false">IF('Cash Flow Model'!J$4&gt;N,0,('Cash Flow Model'!J11*(1+D$4)*1+'Cash Flow Model'!J12*1*1+'Cash Flow Model'!J13*1+'Cash Flow Model'!J16*1)-MAX(0,('Cash Flow Model'!J11*(1+D$4)*1+'Cash Flow Model'!J12*1*1+'Cash Flow Model'!J13*1+'Cash Flow Model'!J16*1)*Tax)-'Cash Flow Model'!J16*1+'Cash Flow Model'!J22*1+'Cash Flow Model'!J24*(1+D$4)*1+'Cash Flow Model'!J25*1)</f>
        <v>421882.87667886</v>
      </c>
      <c r="P42" s="60" t="n">
        <f aca="false">IF('Cash Flow Model'!K$4&gt;N,0,('Cash Flow Model'!K11*(1+D$4)*1+'Cash Flow Model'!K12*1*1+'Cash Flow Model'!K13*1+'Cash Flow Model'!K16*1)-MAX(0,('Cash Flow Model'!K11*(1+D$4)*1+'Cash Flow Model'!K12*1*1+'Cash Flow Model'!K13*1+'Cash Flow Model'!K16*1)*Tax)-'Cash Flow Model'!K16*1+'Cash Flow Model'!K22*1+'Cash Flow Model'!K24*(1+D$4)*1+'Cash Flow Model'!K25*1)</f>
        <v>459631.991489081</v>
      </c>
      <c r="Q42" s="60" t="n">
        <f aca="false">IF('Cash Flow Model'!L$4&gt;N,0,('Cash Flow Model'!L11*(1+D$4)*1+'Cash Flow Model'!L12*1*1+'Cash Flow Model'!L13*1+'Cash Flow Model'!L16*1)-MAX(0,('Cash Flow Model'!L11*(1+D$4)*1+'Cash Flow Model'!L12*1*1+'Cash Flow Model'!L13*1+'Cash Flow Model'!L16*1)*Tax)-'Cash Flow Model'!L16*1+'Cash Flow Model'!L22*1+'Cash Flow Model'!L24*(1+D$4)*1+'Cash Flow Model'!L25*1)</f>
        <v>500345.564893511</v>
      </c>
      <c r="R42" s="60" t="n">
        <f aca="false">IF('Cash Flow Model'!M$4&gt;N,0,('Cash Flow Model'!M11*(1+D$4)*1+'Cash Flow Model'!M12*1*1+'Cash Flow Model'!M13*1+'Cash Flow Model'!M16*1)-MAX(0,('Cash Flow Model'!M11*(1+D$4)*1+'Cash Flow Model'!M12*1*1+'Cash Flow Model'!M13*1+'Cash Flow Model'!M16*1)*Tax)-'Cash Flow Model'!M16*1+'Cash Flow Model'!M22*1+'Cash Flow Model'!M24*(1+D$4)*1+'Cash Flow Model'!M25*1)</f>
        <v>879952.876500144</v>
      </c>
    </row>
    <row r="43" customFormat="false" ht="15" hidden="false" customHeight="false" outlineLevel="0" collapsed="false">
      <c r="A43" s="59" t="str">
        <f aca="false">$A5&amp;" "&amp;TEXT(E$4,"+0%;-0%;0%")</f>
        <v>Selling price +10%</v>
      </c>
      <c r="H43" s="60" t="n">
        <f aca="false">IF('Cash Flow Model'!C$4&gt;N,0,('Cash Flow Model'!C11*(1+E$4)*1+'Cash Flow Model'!C12*1*1+'Cash Flow Model'!C13*1+'Cash Flow Model'!C16*1)-MAX(0,('Cash Flow Model'!C11*(1+E$4)*1+'Cash Flow Model'!C12*1*1+'Cash Flow Model'!C13*1+'Cash Flow Model'!C16*1)*Tax)-'Cash Flow Model'!C16*1+'Cash Flow Model'!C22*1+'Cash Flow Model'!C24*(1+E$4)*1+'Cash Flow Model'!C25*1)</f>
        <v>-900000</v>
      </c>
      <c r="I43" s="60" t="n">
        <f aca="false">IF('Cash Flow Model'!D$4&gt;N,0,('Cash Flow Model'!D11*(1+E$4)*1+'Cash Flow Model'!D12*1*1+'Cash Flow Model'!D13*1+'Cash Flow Model'!D16*1)-MAX(0,('Cash Flow Model'!D11*(1+E$4)*1+'Cash Flow Model'!D12*1*1+'Cash Flow Model'!D13*1+'Cash Flow Model'!D16*1)*Tax)-'Cash Flow Model'!D16*1+'Cash Flow Model'!D22*1+'Cash Flow Model'!D24*(1+E$4)*1+'Cash Flow Model'!D25*1)</f>
        <v>3250.00000000009</v>
      </c>
      <c r="J43" s="60" t="n">
        <f aca="false">IF('Cash Flow Model'!E$4&gt;N,0,('Cash Flow Model'!E11*(1+E$4)*1+'Cash Flow Model'!E12*1*1+'Cash Flow Model'!E13*1+'Cash Flow Model'!E16*1)-MAX(0,('Cash Flow Model'!E11*(1+E$4)*1+'Cash Flow Model'!E12*1*1+'Cash Flow Model'!E13*1+'Cash Flow Model'!E16*1)*Tax)-'Cash Flow Model'!E16*1+'Cash Flow Model'!E22*1+'Cash Flow Model'!E24*(1+E$4)*1+'Cash Flow Model'!E25*1)</f>
        <v>255675.2</v>
      </c>
      <c r="K43" s="60" t="n">
        <f aca="false">IF('Cash Flow Model'!F$4&gt;N,0,('Cash Flow Model'!F11*(1+E$4)*1+'Cash Flow Model'!F12*1*1+'Cash Flow Model'!F13*1+'Cash Flow Model'!F16*1)-MAX(0,('Cash Flow Model'!F11*(1+E$4)*1+'Cash Flow Model'!F12*1*1+'Cash Flow Model'!F13*1+'Cash Flow Model'!F16*1)*Tax)-'Cash Flow Model'!F16*1+'Cash Flow Model'!F22*1+'Cash Flow Model'!F24*(1+E$4)*1+'Cash Flow Model'!F25*1)</f>
        <v>364264.1844</v>
      </c>
      <c r="L43" s="60" t="n">
        <f aca="false">IF('Cash Flow Model'!G$4&gt;N,0,('Cash Flow Model'!G11*(1+E$4)*1+'Cash Flow Model'!G12*1*1+'Cash Flow Model'!G13*1+'Cash Flow Model'!G16*1)-MAX(0,('Cash Flow Model'!G11*(1+E$4)*1+'Cash Flow Model'!G12*1*1+'Cash Flow Model'!G13*1+'Cash Flow Model'!G16*1)*Tax)-'Cash Flow Model'!G16*1+'Cash Flow Model'!G22*1+'Cash Flow Model'!G24*(1+E$4)*1+'Cash Flow Model'!G25*1)</f>
        <v>415815.49258928</v>
      </c>
      <c r="M43" s="60" t="n">
        <f aca="false">IF('Cash Flow Model'!H$4&gt;N,0,('Cash Flow Model'!H11*(1+E$4)*1+'Cash Flow Model'!H12*1*1+'Cash Flow Model'!H13*1+'Cash Flow Model'!H16*1)-MAX(0,('Cash Flow Model'!H11*(1+E$4)*1+'Cash Flow Model'!H12*1*1+'Cash Flow Model'!H13*1+'Cash Flow Model'!H16*1)*Tax)-'Cash Flow Model'!H16*1+'Cash Flow Model'!H22*1+'Cash Flow Model'!H24*(1+E$4)*1+'Cash Flow Model'!H25*1)</f>
        <v>452349.871736637</v>
      </c>
      <c r="N43" s="60" t="n">
        <f aca="false">IF('Cash Flow Model'!I$4&gt;N,0,('Cash Flow Model'!I11*(1+E$4)*1+'Cash Flow Model'!I12*1*1+'Cash Flow Model'!I13*1+'Cash Flow Model'!I16*1)-MAX(0,('Cash Flow Model'!I11*(1+E$4)*1+'Cash Flow Model'!I12*1*1+'Cash Flow Model'!I13*1+'Cash Flow Model'!I16*1)*Tax)-'Cash Flow Model'!I16*1+'Cash Flow Model'!I22*1+'Cash Flow Model'!I24*(1+E$4)*1+'Cash Flow Model'!I25*1)</f>
        <v>491738.738161535</v>
      </c>
      <c r="O43" s="60" t="n">
        <f aca="false">IF('Cash Flow Model'!J$4&gt;N,0,('Cash Flow Model'!J11*(1+E$4)*1+'Cash Flow Model'!J12*1*1+'Cash Flow Model'!J13*1+'Cash Flow Model'!J16*1)-MAX(0,('Cash Flow Model'!J11*(1+E$4)*1+'Cash Flow Model'!J12*1*1+'Cash Flow Model'!J13*1+'Cash Flow Model'!J16*1)*Tax)-'Cash Flow Model'!J16*1+'Cash Flow Model'!J22*1+'Cash Flow Model'!J24*(1+E$4)*1+'Cash Flow Model'!J25*1)</f>
        <v>534192.928542605</v>
      </c>
      <c r="P43" s="60" t="n">
        <f aca="false">IF('Cash Flow Model'!K$4&gt;N,0,('Cash Flow Model'!K11*(1+E$4)*1+'Cash Flow Model'!K12*1*1+'Cash Flow Model'!K13*1+'Cash Flow Model'!K16*1)-MAX(0,('Cash Flow Model'!K11*(1+E$4)*1+'Cash Flow Model'!K12*1*1+'Cash Flow Model'!K13*1+'Cash Flow Model'!K16*1)*Tax)-'Cash Flow Model'!K16*1+'Cash Flow Model'!K22*1+'Cash Flow Model'!K24*(1+E$4)*1+'Cash Flow Model'!K25*1)</f>
        <v>579938.519045524</v>
      </c>
      <c r="Q43" s="60" t="n">
        <f aca="false">IF('Cash Flow Model'!L$4&gt;N,0,('Cash Flow Model'!L11*(1+E$4)*1+'Cash Flow Model'!L12*1*1+'Cash Flow Model'!L13*1+'Cash Flow Model'!L16*1)-MAX(0,('Cash Flow Model'!L11*(1+E$4)*1+'Cash Flow Model'!L12*1*1+'Cash Flow Model'!L13*1+'Cash Flow Model'!L16*1)*Tax)-'Cash Flow Model'!L16*1+'Cash Flow Model'!L22*1+'Cash Flow Model'!L24*(1+E$4)*1+'Cash Flow Model'!L25*1)</f>
        <v>629217.917211973</v>
      </c>
      <c r="R43" s="60" t="n">
        <f aca="false">IF('Cash Flow Model'!M$4&gt;N,0,('Cash Flow Model'!M11*(1+E$4)*1+'Cash Flow Model'!M12*1*1+'Cash Flow Model'!M13*1+'Cash Flow Model'!M16*1)-MAX(0,('Cash Flow Model'!M11*(1+E$4)*1+'Cash Flow Model'!M12*1*1+'Cash Flow Model'!M13*1+'Cash Flow Model'!M16*1)*Tax)-'Cash Flow Model'!M16*1+'Cash Flow Model'!M22*1+'Cash Flow Model'!M24*(1+E$4)*1+'Cash Flow Model'!M25*1)</f>
        <v>1036571.93115443</v>
      </c>
    </row>
    <row r="44" customFormat="false" ht="15" hidden="false" customHeight="false" outlineLevel="0" collapsed="false">
      <c r="A44" s="59" t="str">
        <f aca="false">$A5&amp;" "&amp;TEXT(F$4,"+0%;-0%;0%")</f>
        <v>Selling price +20%</v>
      </c>
      <c r="H44" s="60" t="n">
        <f aca="false">IF('Cash Flow Model'!C$4&gt;N,0,('Cash Flow Model'!C11*(1+F$4)*1+'Cash Flow Model'!C12*1*1+'Cash Flow Model'!C13*1+'Cash Flow Model'!C16*1)-MAX(0,('Cash Flow Model'!C11*(1+F$4)*1+'Cash Flow Model'!C12*1*1+'Cash Flow Model'!C13*1+'Cash Flow Model'!C16*1)*Tax)-'Cash Flow Model'!C16*1+'Cash Flow Model'!C22*1+'Cash Flow Model'!C24*(1+F$4)*1+'Cash Flow Model'!C25*1)</f>
        <v>-900000</v>
      </c>
      <c r="I44" s="60" t="n">
        <f aca="false">IF('Cash Flow Model'!D$4&gt;N,0,('Cash Flow Model'!D11*(1+F$4)*1+'Cash Flow Model'!D12*1*1+'Cash Flow Model'!D13*1+'Cash Flow Model'!D16*1)-MAX(0,('Cash Flow Model'!D11*(1+F$4)*1+'Cash Flow Model'!D12*1*1+'Cash Flow Model'!D13*1+'Cash Flow Model'!D16*1)*Tax)-'Cash Flow Model'!D16*1+'Cash Flow Model'!D22*1+'Cash Flow Model'!D24*(1+F$4)*1+'Cash Flow Model'!D25*1)</f>
        <v>48750</v>
      </c>
      <c r="J44" s="60" t="n">
        <f aca="false">IF('Cash Flow Model'!E$4&gt;N,0,('Cash Flow Model'!E11*(1+F$4)*1+'Cash Flow Model'!E12*1*1+'Cash Flow Model'!E13*1+'Cash Flow Model'!E16*1)-MAX(0,('Cash Flow Model'!E11*(1+F$4)*1+'Cash Flow Model'!E12*1*1+'Cash Flow Model'!E13*1+'Cash Flow Model'!E16*1)*Tax)-'Cash Flow Model'!E16*1+'Cash Flow Model'!E22*1+'Cash Flow Model'!E24*(1+F$4)*1+'Cash Flow Model'!E25*1)</f>
        <v>321859</v>
      </c>
      <c r="K44" s="60" t="n">
        <f aca="false">IF('Cash Flow Model'!F$4&gt;N,0,('Cash Flow Model'!F11*(1+F$4)*1+'Cash Flow Model'!F12*1*1+'Cash Flow Model'!F13*1+'Cash Flow Model'!F16*1)-MAX(0,('Cash Flow Model'!F11*(1+F$4)*1+'Cash Flow Model'!F12*1*1+'Cash Flow Model'!F13*1+'Cash Flow Model'!F16*1)*Tax)-'Cash Flow Model'!F16*1+'Cash Flow Model'!F22*1+'Cash Flow Model'!F24*(1+F$4)*1+'Cash Flow Model'!F25*1)</f>
        <v>447954.898</v>
      </c>
      <c r="L44" s="60" t="n">
        <f aca="false">IF('Cash Flow Model'!G$4&gt;N,0,('Cash Flow Model'!G11*(1+F$4)*1+'Cash Flow Model'!G12*1*1+'Cash Flow Model'!G13*1+'Cash Flow Model'!G16*1)-MAX(0,('Cash Flow Model'!G11*(1+F$4)*1+'Cash Flow Model'!G12*1*1+'Cash Flow Model'!G13*1+'Cash Flow Model'!G16*1)*Tax)-'Cash Flow Model'!G16*1+'Cash Flow Model'!G22*1+'Cash Flow Model'!G24*(1+F$4)*1+'Cash Flow Model'!G25*1)</f>
        <v>507186.1891576</v>
      </c>
      <c r="M44" s="60" t="n">
        <f aca="false">IF('Cash Flow Model'!H$4&gt;N,0,('Cash Flow Model'!H11*(1+F$4)*1+'Cash Flow Model'!H12*1*1+'Cash Flow Model'!H13*1+'Cash Flow Model'!H16*1)-MAX(0,('Cash Flow Model'!H11*(1+F$4)*1+'Cash Flow Model'!H12*1*1+'Cash Flow Model'!H13*1+'Cash Flow Model'!H16*1)*Tax)-'Cash Flow Model'!H16*1+'Cash Flow Model'!H22*1+'Cash Flow Model'!H24*(1+F$4)*1+'Cash Flow Model'!H25*1)</f>
        <v>550226.161900621</v>
      </c>
      <c r="N44" s="60" t="n">
        <f aca="false">IF('Cash Flow Model'!I$4&gt;N,0,('Cash Flow Model'!I11*(1+F$4)*1+'Cash Flow Model'!I12*1*1+'Cash Flow Model'!I13*1+'Cash Flow Model'!I16*1)-MAX(0,('Cash Flow Model'!I11*(1+F$4)*1+'Cash Flow Model'!I12*1*1+'Cash Flow Model'!I13*1+'Cash Flow Model'!I16*1)*Tax)-'Cash Flow Model'!I16*1+'Cash Flow Model'!I22*1+'Cash Flow Model'!I24*(1+F$4)*1+'Cash Flow Model'!I25*1)</f>
        <v>596583.820185196</v>
      </c>
      <c r="O44" s="60" t="n">
        <f aca="false">IF('Cash Flow Model'!J$4&gt;N,0,('Cash Flow Model'!J11*(1+F$4)*1+'Cash Flow Model'!J12*1*1+'Cash Flow Model'!J13*1+'Cash Flow Model'!J16*1)-MAX(0,('Cash Flow Model'!J11*(1+F$4)*1+'Cash Flow Model'!J12*1*1+'Cash Flow Model'!J13*1+'Cash Flow Model'!J16*1)*Tax)-'Cash Flow Model'!J16*1+'Cash Flow Model'!J22*1+'Cash Flow Model'!J24*(1+F$4)*1+'Cash Flow Model'!J25*1)</f>
        <v>646502.980406349</v>
      </c>
      <c r="P44" s="60" t="n">
        <f aca="false">IF('Cash Flow Model'!K$4&gt;N,0,('Cash Flow Model'!K11*(1+F$4)*1+'Cash Flow Model'!K12*1*1+'Cash Flow Model'!K13*1+'Cash Flow Model'!K16*1)-MAX(0,('Cash Flow Model'!K11*(1+F$4)*1+'Cash Flow Model'!K12*1*1+'Cash Flow Model'!K13*1+'Cash Flow Model'!K16*1)*Tax)-'Cash Flow Model'!K16*1+'Cash Flow Model'!K22*1+'Cash Flow Model'!K24*(1+F$4)*1+'Cash Flow Model'!K25*1)</f>
        <v>700245.046601967</v>
      </c>
      <c r="Q44" s="60" t="n">
        <f aca="false">IF('Cash Flow Model'!L$4&gt;N,0,('Cash Flow Model'!L11*(1+F$4)*1+'Cash Flow Model'!L12*1*1+'Cash Flow Model'!L13*1+'Cash Flow Model'!L16*1)-MAX(0,('Cash Flow Model'!L11*(1+F$4)*1+'Cash Flow Model'!L12*1*1+'Cash Flow Model'!L13*1+'Cash Flow Model'!L16*1)*Tax)-'Cash Flow Model'!L16*1+'Cash Flow Model'!L22*1+'Cash Flow Model'!L24*(1+F$4)*1+'Cash Flow Model'!L25*1)</f>
        <v>758090.269530435</v>
      </c>
      <c r="R44" s="60" t="n">
        <f aca="false">IF('Cash Flow Model'!M$4&gt;N,0,('Cash Flow Model'!M11*(1+F$4)*1+'Cash Flow Model'!M12*1*1+'Cash Flow Model'!M13*1+'Cash Flow Model'!M16*1)-MAX(0,('Cash Flow Model'!M11*(1+F$4)*1+'Cash Flow Model'!M12*1*1+'Cash Flow Model'!M13*1+'Cash Flow Model'!M16*1)*Tax)-'Cash Flow Model'!M16*1+'Cash Flow Model'!M22*1+'Cash Flow Model'!M24*(1+F$4)*1+'Cash Flow Model'!M25*1)</f>
        <v>1193190.98580872</v>
      </c>
    </row>
    <row r="45" customFormat="false" ht="15" hidden="false" customHeight="false" outlineLevel="0" collapsed="false">
      <c r="A45" s="59" t="str">
        <f aca="false">$A6&amp;" "&amp;TEXT(B$4,"+0%;-0%;0%")</f>
        <v>Sales volume -20%</v>
      </c>
      <c r="H45" s="60" t="n">
        <f aca="false">IF('Cash Flow Model'!C$4&gt;N,0,('Cash Flow Model'!C11*1*(1+B$4)+'Cash Flow Model'!C12*(1+B$4)*1+'Cash Flow Model'!C13*1+'Cash Flow Model'!C16*1)-MAX(0,('Cash Flow Model'!C11*1*(1+B$4)+'Cash Flow Model'!C12*(1+B$4)*1+'Cash Flow Model'!C13*1+'Cash Flow Model'!C16*1)*Tax)-'Cash Flow Model'!C16*1+'Cash Flow Model'!C22*1+'Cash Flow Model'!C24*1*(1+B$4)+'Cash Flow Model'!C25*1)</f>
        <v>-900000</v>
      </c>
      <c r="I45" s="60" t="n">
        <f aca="false">IF('Cash Flow Model'!D$4&gt;N,0,('Cash Flow Model'!D11*1*(1+B$4)+'Cash Flow Model'!D12*(1+B$4)*1+'Cash Flow Model'!D13*1+'Cash Flow Model'!D16*1)-MAX(0,('Cash Flow Model'!D11*1*(1+B$4)+'Cash Flow Model'!D12*(1+B$4)*1+'Cash Flow Model'!D13*1+'Cash Flow Model'!D16*1)*Tax)-'Cash Flow Model'!D16*1+'Cash Flow Model'!D22*1+'Cash Flow Model'!D24*1*(1+B$4)+'Cash Flow Model'!D25*1)</f>
        <v>-92400</v>
      </c>
      <c r="J45" s="60" t="n">
        <f aca="false">IF('Cash Flow Model'!E$4&gt;N,0,('Cash Flow Model'!E11*1*(1+B$4)+'Cash Flow Model'!E12*(1+B$4)*1+'Cash Flow Model'!E13*1+'Cash Flow Model'!E16*1)-MAX(0,('Cash Flow Model'!E11*1*(1+B$4)+'Cash Flow Model'!E12*(1+B$4)*1+'Cash Flow Model'!E13*1+'Cash Flow Model'!E16*1)*Tax)-'Cash Flow Model'!E16*1+'Cash Flow Model'!E22*1+'Cash Flow Model'!E24*1*(1+B$4)+'Cash Flow Model'!E25*1)</f>
        <v>117218.12</v>
      </c>
      <c r="K45" s="60" t="n">
        <f aca="false">IF('Cash Flow Model'!F$4&gt;N,0,('Cash Flow Model'!F11*1*(1+B$4)+'Cash Flow Model'!F12*(1+B$4)*1+'Cash Flow Model'!F13*1+'Cash Flow Model'!F16*1)-MAX(0,('Cash Flow Model'!F11*1*(1+B$4)+'Cash Flow Model'!F12*(1+B$4)*1+'Cash Flow Model'!F13*1+'Cash Flow Model'!F16*1)*Tax)-'Cash Flow Model'!F16*1+'Cash Flow Model'!F22*1+'Cash Flow Model'!F24*1*(1+B$4)+'Cash Flow Model'!F25*1)</f>
        <v>188925.02664</v>
      </c>
      <c r="L45" s="60" t="n">
        <f aca="false">IF('Cash Flow Model'!G$4&gt;N,0,('Cash Flow Model'!G11*1*(1+B$4)+'Cash Flow Model'!G12*(1+B$4)*1+'Cash Flow Model'!G13*1+'Cash Flow Model'!G16*1)-MAX(0,('Cash Flow Model'!G11*1*(1+B$4)+'Cash Flow Model'!G12*(1+B$4)*1+'Cash Flow Model'!G13*1+'Cash Flow Model'!G16*1)*Tax)-'Cash Flow Model'!G16*1+'Cash Flow Model'!G22*1+'Cash Flow Model'!G24*1*(1+B$4)+'Cash Flow Model'!G25*1)</f>
        <v>222828.574316768</v>
      </c>
      <c r="M45" s="60" t="n">
        <f aca="false">IF('Cash Flow Model'!H$4&gt;N,0,('Cash Flow Model'!H11*1*(1+B$4)+'Cash Flow Model'!H12*(1+B$4)*1+'Cash Flow Model'!H13*1+'Cash Flow Model'!H16*1)-MAX(0,('Cash Flow Model'!H11*1*(1+B$4)+'Cash Flow Model'!H12*(1+B$4)*1+'Cash Flow Model'!H13*1+'Cash Flow Model'!H16*1)*Tax)-'Cash Flow Model'!H16*1+'Cash Flow Model'!H22*1+'Cash Flow Model'!H24*1*(1+B$4)+'Cash Flow Model'!H25*1)</f>
        <v>245622.284883122</v>
      </c>
      <c r="N45" s="60" t="n">
        <f aca="false">IF('Cash Flow Model'!I$4&gt;N,0,('Cash Flow Model'!I11*1*(1+B$4)+'Cash Flow Model'!I12*(1+B$4)*1+'Cash Flow Model'!I13*1+'Cash Flow Model'!I16*1)-MAX(0,('Cash Flow Model'!I11*1*(1+B$4)+'Cash Flow Model'!I12*(1+B$4)*1+'Cash Flow Model'!I13*1+'Cash Flow Model'!I16*1)*Tax)-'Cash Flow Model'!I16*1+'Cash Flow Model'!I22*1+'Cash Flow Model'!I24*1*(1+B$4)+'Cash Flow Model'!I25*1)</f>
        <v>270292.14712405</v>
      </c>
      <c r="O45" s="60" t="n">
        <f aca="false">IF('Cash Flow Model'!J$4&gt;N,0,('Cash Flow Model'!J11*1*(1+B$4)+'Cash Flow Model'!J12*(1+B$4)*1+'Cash Flow Model'!J13*1+'Cash Flow Model'!J16*1)-MAX(0,('Cash Flow Model'!J11*1*(1+B$4)+'Cash Flow Model'!J12*(1+B$4)*1+'Cash Flow Model'!J13*1+'Cash Flow Model'!J16*1)*Tax)-'Cash Flow Model'!J16*1+'Cash Flow Model'!J22*1+'Cash Flow Model'!J24*1*(1+B$4)+'Cash Flow Model'!J25*1)</f>
        <v>296979.34022325</v>
      </c>
      <c r="P45" s="60" t="n">
        <f aca="false">IF('Cash Flow Model'!K$4&gt;N,0,('Cash Flow Model'!K11*1*(1+B$4)+'Cash Flow Model'!K12*(1+B$4)*1+'Cash Flow Model'!K13*1+'Cash Flow Model'!K16*1)-MAX(0,('Cash Flow Model'!K11*1*(1+B$4)+'Cash Flow Model'!K12*(1+B$4)*1+'Cash Flow Model'!K13*1+'Cash Flow Model'!K16*1)*Tax)-'Cash Flow Model'!K16*1+'Cash Flow Model'!K22*1+'Cash Flow Model'!K24*1*(1+B$4)+'Cash Flow Model'!K25*1)</f>
        <v>325835.323237832</v>
      </c>
      <c r="Q45" s="60" t="n">
        <f aca="false">IF('Cash Flow Model'!L$4&gt;N,0,('Cash Flow Model'!L11*1*(1+B$4)+'Cash Flow Model'!L12*(1+B$4)*1+'Cash Flow Model'!L13*1+'Cash Flow Model'!L16*1)-MAX(0,('Cash Flow Model'!L11*1*(1+B$4)+'Cash Flow Model'!L12*(1+B$4)*1+'Cash Flow Model'!L13*1+'Cash Flow Model'!L16*1)*Tax)-'Cash Flow Model'!L16*1+'Cash Flow Model'!L22*1+'Cash Flow Model'!L24*1*(1+B$4)+'Cash Flow Model'!L25*1)</f>
        <v>357022.573862773</v>
      </c>
      <c r="R45" s="60" t="n">
        <f aca="false">IF('Cash Flow Model'!M$4&gt;N,0,('Cash Flow Model'!M11*1*(1+B$4)+'Cash Flow Model'!M12*(1+B$4)*1+'Cash Flow Model'!M13*1+'Cash Flow Model'!M16*1)-MAX(0,('Cash Flow Model'!M11*1*(1+B$4)+'Cash Flow Model'!M12*(1+B$4)*1+'Cash Flow Model'!M13*1+'Cash Flow Model'!M16*1)*Tax)-'Cash Flow Model'!M16*1+'Cash Flow Model'!M22*1+'Cash Flow Model'!M24*1*(1+B$4)+'Cash Flow Model'!M25*1)</f>
        <v>689283.306806518</v>
      </c>
    </row>
    <row r="46" customFormat="false" ht="15" hidden="false" customHeight="false" outlineLevel="0" collapsed="false">
      <c r="A46" s="59" t="str">
        <f aca="false">$A6&amp;" "&amp;TEXT(C$4,"+0%;-0%;0%")</f>
        <v>Sales volume -10%</v>
      </c>
      <c r="H46" s="60" t="n">
        <f aca="false">IF('Cash Flow Model'!C$4&gt;N,0,('Cash Flow Model'!C11*1*(1+C$4)+'Cash Flow Model'!C12*(1+C$4)*1+'Cash Flow Model'!C13*1+'Cash Flow Model'!C16*1)-MAX(0,('Cash Flow Model'!C11*1*(1+C$4)+'Cash Flow Model'!C12*(1+C$4)*1+'Cash Flow Model'!C13*1+'Cash Flow Model'!C16*1)*Tax)-'Cash Flow Model'!C16*1+'Cash Flow Model'!C22*1+'Cash Flow Model'!C24*1*(1+C$4)+'Cash Flow Model'!C25*1)</f>
        <v>-900000</v>
      </c>
      <c r="I46" s="60" t="n">
        <f aca="false">IF('Cash Flow Model'!D$4&gt;N,0,('Cash Flow Model'!D11*1*(1+C$4)+'Cash Flow Model'!D12*(1+C$4)*1+'Cash Flow Model'!D13*1+'Cash Flow Model'!D16*1)-MAX(0,('Cash Flow Model'!D11*1*(1+C$4)+'Cash Flow Model'!D12*(1+C$4)*1+'Cash Flow Model'!D13*1+'Cash Flow Model'!D16*1)*Tax)-'Cash Flow Model'!D16*1+'Cash Flow Model'!D22*1+'Cash Flow Model'!D24*1*(1+C$4)+'Cash Flow Model'!D25*1)</f>
        <v>-64650</v>
      </c>
      <c r="J46" s="60" t="n">
        <f aca="false">IF('Cash Flow Model'!E$4&gt;N,0,('Cash Flow Model'!E11*1*(1+C$4)+'Cash Flow Model'!E12*(1+C$4)*1+'Cash Flow Model'!E13*1+'Cash Flow Model'!E16*1)-MAX(0,('Cash Flow Model'!E11*1*(1+C$4)+'Cash Flow Model'!E12*(1+C$4)*1+'Cash Flow Model'!E13*1+'Cash Flow Model'!E16*1)*Tax)-'Cash Flow Model'!E16*1+'Cash Flow Model'!E22*1+'Cash Flow Model'!E24*1*(1+C$4)+'Cash Flow Model'!E25*1)</f>
        <v>153354.76</v>
      </c>
      <c r="K46" s="60" t="n">
        <f aca="false">IF('Cash Flow Model'!F$4&gt;N,0,('Cash Flow Model'!F11*1*(1+C$4)+'Cash Flow Model'!F12*(1+C$4)*1+'Cash Flow Model'!F13*1+'Cash Flow Model'!F16*1)-MAX(0,('Cash Flow Model'!F11*1*(1+C$4)+'Cash Flow Model'!F12*(1+C$4)*1+'Cash Flow Model'!F13*1+'Cash Flow Model'!F16*1)*Tax)-'Cash Flow Model'!F16*1+'Cash Flow Model'!F22*1+'Cash Flow Model'!F24*1*(1+C$4)+'Cash Flow Model'!F25*1)</f>
        <v>234749.24872</v>
      </c>
      <c r="L46" s="60" t="n">
        <f aca="false">IF('Cash Flow Model'!G$4&gt;N,0,('Cash Flow Model'!G11*1*(1+C$4)+'Cash Flow Model'!G12*(1+C$4)*1+'Cash Flow Model'!G13*1+'Cash Flow Model'!G16*1)-MAX(0,('Cash Flow Model'!G11*1*(1+C$4)+'Cash Flow Model'!G12*(1+C$4)*1+'Cash Flow Model'!G13*1+'Cash Flow Model'!G16*1)*Tax)-'Cash Flow Model'!G16*1+'Cash Flow Model'!G22*1+'Cash Flow Model'!G24*1*(1+C$4)+'Cash Flow Model'!G25*1)</f>
        <v>273636.685168864</v>
      </c>
      <c r="M46" s="60" t="n">
        <f aca="false">IF('Cash Flow Model'!H$4&gt;N,0,('Cash Flow Model'!H11*1*(1+C$4)+'Cash Flow Model'!H12*(1+C$4)*1+'Cash Flow Model'!H13*1+'Cash Flow Model'!H16*1)-MAX(0,('Cash Flow Model'!H11*1*(1+C$4)+'Cash Flow Model'!H12*(1+C$4)*1+'Cash Flow Model'!H13*1+'Cash Flow Model'!H16*1)*Tax)-'Cash Flow Model'!H16*1+'Cash Flow Model'!H22*1+'Cash Flow Model'!H24*1*(1+C$4)+'Cash Flow Model'!H25*1)</f>
        <v>300047.933227887</v>
      </c>
      <c r="N46" s="60" t="n">
        <f aca="false">IF('Cash Flow Model'!I$4&gt;N,0,('Cash Flow Model'!I11*1*(1+C$4)+'Cash Flow Model'!I12*(1+C$4)*1+'Cash Flow Model'!I13*1+'Cash Flow Model'!I16*1)-MAX(0,('Cash Flow Model'!I11*1*(1+C$4)+'Cash Flow Model'!I12*(1+C$4)*1+'Cash Flow Model'!I13*1+'Cash Flow Model'!I16*1)*Tax)-'Cash Flow Model'!I16*1+'Cash Flow Model'!I22*1+'Cash Flow Model'!I24*1*(1+C$4)+'Cash Flow Model'!I25*1)</f>
        <v>328592.901630963</v>
      </c>
      <c r="O46" s="60" t="n">
        <f aca="false">IF('Cash Flow Model'!J$4&gt;N,0,('Cash Flow Model'!J11*1*(1+C$4)+'Cash Flow Model'!J12*(1+C$4)*1+'Cash Flow Model'!J13*1+'Cash Flow Model'!J16*1)-MAX(0,('Cash Flow Model'!J11*1*(1+C$4)+'Cash Flow Model'!J12*(1+C$4)*1+'Cash Flow Model'!J13*1+'Cash Flow Model'!J16*1)*Tax)-'Cash Flow Model'!J16*1+'Cash Flow Model'!J22*1+'Cash Flow Model'!J24*1*(1+C$4)+'Cash Flow Model'!J25*1)</f>
        <v>359431.108451055</v>
      </c>
      <c r="P46" s="60" t="n">
        <f aca="false">IF('Cash Flow Model'!K$4&gt;N,0,('Cash Flow Model'!K11*1*(1+C$4)+'Cash Flow Model'!K12*(1+C$4)*1+'Cash Flow Model'!K13*1+'Cash Flow Model'!K16*1)-MAX(0,('Cash Flow Model'!K11*1*(1+C$4)+'Cash Flow Model'!K12*(1+C$4)*1+'Cash Flow Model'!K13*1+'Cash Flow Model'!K16*1)*Tax)-'Cash Flow Model'!K16*1+'Cash Flow Model'!K22*1+'Cash Flow Model'!K24*1*(1+C$4)+'Cash Flow Model'!K25*1)</f>
        <v>392733.657363457</v>
      </c>
      <c r="Q46" s="60" t="n">
        <f aca="false">IF('Cash Flow Model'!L$4&gt;N,0,('Cash Flow Model'!L11*1*(1+C$4)+'Cash Flow Model'!L12*(1+C$4)*1+'Cash Flow Model'!L13*1+'Cash Flow Model'!L16*1)-MAX(0,('Cash Flow Model'!L11*1*(1+C$4)+'Cash Flow Model'!L12*(1+C$4)*1+'Cash Flow Model'!L13*1+'Cash Flow Model'!L16*1)*Tax)-'Cash Flow Model'!L16*1+'Cash Flow Model'!L22*1+'Cash Flow Model'!L24*1*(1+C$4)+'Cash Flow Model'!L25*1)</f>
        <v>428684.069378142</v>
      </c>
      <c r="R46" s="60" t="n">
        <f aca="false">IF('Cash Flow Model'!M$4&gt;N,0,('Cash Flow Model'!M11*1*(1+C$4)+'Cash Flow Model'!M12*(1+C$4)*1+'Cash Flow Model'!M13*1+'Cash Flow Model'!M16*1)-MAX(0,('Cash Flow Model'!M11*1*(1+C$4)+'Cash Flow Model'!M12*(1+C$4)*1+'Cash Flow Model'!M13*1+'Cash Flow Model'!M16*1)*Tax)-'Cash Flow Model'!M16*1+'Cash Flow Model'!M22*1+'Cash Flow Model'!M24*1*(1+C$4)+'Cash Flow Model'!M25*1)</f>
        <v>784618.091653331</v>
      </c>
    </row>
    <row r="47" customFormat="false" ht="15" hidden="false" customHeight="false" outlineLevel="0" collapsed="false">
      <c r="A47" s="59" t="str">
        <f aca="false">$A6&amp;" "&amp;TEXT(D$4,"+0%;-0%;0%")</f>
        <v>Sales volume 0%</v>
      </c>
      <c r="H47" s="60" t="n">
        <f aca="false">IF('Cash Flow Model'!C$4&gt;N,0,('Cash Flow Model'!C11*1*(1+D$4)+'Cash Flow Model'!C12*(1+D$4)*1+'Cash Flow Model'!C13*1+'Cash Flow Model'!C16*1)-MAX(0,('Cash Flow Model'!C11*1*(1+D$4)+'Cash Flow Model'!C12*(1+D$4)*1+'Cash Flow Model'!C13*1+'Cash Flow Model'!C16*1)*Tax)-'Cash Flow Model'!C16*1+'Cash Flow Model'!C22*1+'Cash Flow Model'!C24*1*(1+D$4)+'Cash Flow Model'!C25*1)</f>
        <v>-900000</v>
      </c>
      <c r="I47" s="60" t="n">
        <f aca="false">IF('Cash Flow Model'!D$4&gt;N,0,('Cash Flow Model'!D11*1*(1+D$4)+'Cash Flow Model'!D12*(1+D$4)*1+'Cash Flow Model'!D13*1+'Cash Flow Model'!D16*1)-MAX(0,('Cash Flow Model'!D11*1*(1+D$4)+'Cash Flow Model'!D12*(1+D$4)*1+'Cash Flow Model'!D13*1+'Cash Flow Model'!D16*1)*Tax)-'Cash Flow Model'!D16*1+'Cash Flow Model'!D22*1+'Cash Flow Model'!D24*1*(1+D$4)+'Cash Flow Model'!D25*1)</f>
        <v>-42250</v>
      </c>
      <c r="J47" s="60" t="n">
        <f aca="false">IF('Cash Flow Model'!E$4&gt;N,0,('Cash Flow Model'!E11*1*(1+D$4)+'Cash Flow Model'!E12*(1+D$4)*1+'Cash Flow Model'!E13*1+'Cash Flow Model'!E16*1)-MAX(0,('Cash Flow Model'!E11*1*(1+D$4)+'Cash Flow Model'!E12*(1+D$4)*1+'Cash Flow Model'!E13*1+'Cash Flow Model'!E16*1)*Tax)-'Cash Flow Model'!E16*1+'Cash Flow Model'!E22*1+'Cash Flow Model'!E24*1*(1+D$4)+'Cash Flow Model'!E25*1)</f>
        <v>189491.4</v>
      </c>
      <c r="K47" s="60" t="n">
        <f aca="false">IF('Cash Flow Model'!F$4&gt;N,0,('Cash Flow Model'!F11*1*(1+D$4)+'Cash Flow Model'!F12*(1+D$4)*1+'Cash Flow Model'!F13*1+'Cash Flow Model'!F16*1)-MAX(0,('Cash Flow Model'!F11*1*(1+D$4)+'Cash Flow Model'!F12*(1+D$4)*1+'Cash Flow Model'!F13*1+'Cash Flow Model'!F16*1)*Tax)-'Cash Flow Model'!F16*1+'Cash Flow Model'!F22*1+'Cash Flow Model'!F24*1*(1+D$4)+'Cash Flow Model'!F25*1)</f>
        <v>280573.4708</v>
      </c>
      <c r="L47" s="60" t="n">
        <f aca="false">IF('Cash Flow Model'!G$4&gt;N,0,('Cash Flow Model'!G11*1*(1+D$4)+'Cash Flow Model'!G12*(1+D$4)*1+'Cash Flow Model'!G13*1+'Cash Flow Model'!G16*1)-MAX(0,('Cash Flow Model'!G11*1*(1+D$4)+'Cash Flow Model'!G12*(1+D$4)*1+'Cash Flow Model'!G13*1+'Cash Flow Model'!G16*1)*Tax)-'Cash Flow Model'!G16*1+'Cash Flow Model'!G22*1+'Cash Flow Model'!G24*1*(1+D$4)+'Cash Flow Model'!G25*1)</f>
        <v>324444.79602096</v>
      </c>
      <c r="M47" s="60" t="n">
        <f aca="false">IF('Cash Flow Model'!H$4&gt;N,0,('Cash Flow Model'!H11*1*(1+D$4)+'Cash Flow Model'!H12*(1+D$4)*1+'Cash Flow Model'!H13*1+'Cash Flow Model'!H16*1)-MAX(0,('Cash Flow Model'!H11*1*(1+D$4)+'Cash Flow Model'!H12*(1+D$4)*1+'Cash Flow Model'!H13*1+'Cash Flow Model'!H16*1)*Tax)-'Cash Flow Model'!H16*1+'Cash Flow Model'!H22*1+'Cash Flow Model'!H24*1*(1+D$4)+'Cash Flow Model'!H25*1)</f>
        <v>354473.581572653</v>
      </c>
      <c r="N47" s="60" t="n">
        <f aca="false">IF('Cash Flow Model'!I$4&gt;N,0,('Cash Flow Model'!I11*1*(1+D$4)+'Cash Flow Model'!I12*(1+D$4)*1+'Cash Flow Model'!I13*1+'Cash Flow Model'!I16*1)-MAX(0,('Cash Flow Model'!I11*1*(1+D$4)+'Cash Flow Model'!I12*(1+D$4)*1+'Cash Flow Model'!I13*1+'Cash Flow Model'!I16*1)*Tax)-'Cash Flow Model'!I16*1+'Cash Flow Model'!I22*1+'Cash Flow Model'!I24*1*(1+D$4)+'Cash Flow Model'!I25*1)</f>
        <v>386893.656137875</v>
      </c>
      <c r="O47" s="60" t="n">
        <f aca="false">IF('Cash Flow Model'!J$4&gt;N,0,('Cash Flow Model'!J11*1*(1+D$4)+'Cash Flow Model'!J12*(1+D$4)*1+'Cash Flow Model'!J13*1+'Cash Flow Model'!J16*1)-MAX(0,('Cash Flow Model'!J11*1*(1+D$4)+'Cash Flow Model'!J12*(1+D$4)*1+'Cash Flow Model'!J13*1+'Cash Flow Model'!J16*1)*Tax)-'Cash Flow Model'!J16*1+'Cash Flow Model'!J22*1+'Cash Flow Model'!J24*1*(1+D$4)+'Cash Flow Model'!J25*1)</f>
        <v>421882.87667886</v>
      </c>
      <c r="P47" s="60" t="n">
        <f aca="false">IF('Cash Flow Model'!K$4&gt;N,0,('Cash Flow Model'!K11*1*(1+D$4)+'Cash Flow Model'!K12*(1+D$4)*1+'Cash Flow Model'!K13*1+'Cash Flow Model'!K16*1)-MAX(0,('Cash Flow Model'!K11*1*(1+D$4)+'Cash Flow Model'!K12*(1+D$4)*1+'Cash Flow Model'!K13*1+'Cash Flow Model'!K16*1)*Tax)-'Cash Flow Model'!K16*1+'Cash Flow Model'!K22*1+'Cash Flow Model'!K24*1*(1+D$4)+'Cash Flow Model'!K25*1)</f>
        <v>459631.991489081</v>
      </c>
      <c r="Q47" s="60" t="n">
        <f aca="false">IF('Cash Flow Model'!L$4&gt;N,0,('Cash Flow Model'!L11*1*(1+D$4)+'Cash Flow Model'!L12*(1+D$4)*1+'Cash Flow Model'!L13*1+'Cash Flow Model'!L16*1)-MAX(0,('Cash Flow Model'!L11*1*(1+D$4)+'Cash Flow Model'!L12*(1+D$4)*1+'Cash Flow Model'!L13*1+'Cash Flow Model'!L16*1)*Tax)-'Cash Flow Model'!L16*1+'Cash Flow Model'!L22*1+'Cash Flow Model'!L24*1*(1+D$4)+'Cash Flow Model'!L25*1)</f>
        <v>500345.564893511</v>
      </c>
      <c r="R47" s="60" t="n">
        <f aca="false">IF('Cash Flow Model'!M$4&gt;N,0,('Cash Flow Model'!M11*1*(1+D$4)+'Cash Flow Model'!M12*(1+D$4)*1+'Cash Flow Model'!M13*1+'Cash Flow Model'!M16*1)-MAX(0,('Cash Flow Model'!M11*1*(1+D$4)+'Cash Flow Model'!M12*(1+D$4)*1+'Cash Flow Model'!M13*1+'Cash Flow Model'!M16*1)*Tax)-'Cash Flow Model'!M16*1+'Cash Flow Model'!M22*1+'Cash Flow Model'!M24*1*(1+D$4)+'Cash Flow Model'!M25*1)</f>
        <v>879952.876500144</v>
      </c>
    </row>
    <row r="48" customFormat="false" ht="15" hidden="false" customHeight="false" outlineLevel="0" collapsed="false">
      <c r="A48" s="59" t="str">
        <f aca="false">$A6&amp;" "&amp;TEXT(E$4,"+0%;-0%;0%")</f>
        <v>Sales volume +10%</v>
      </c>
      <c r="H48" s="60" t="n">
        <f aca="false">IF('Cash Flow Model'!C$4&gt;N,0,('Cash Flow Model'!C11*1*(1+E$4)+'Cash Flow Model'!C12*(1+E$4)*1+'Cash Flow Model'!C13*1+'Cash Flow Model'!C16*1)-MAX(0,('Cash Flow Model'!C11*1*(1+E$4)+'Cash Flow Model'!C12*(1+E$4)*1+'Cash Flow Model'!C13*1+'Cash Flow Model'!C16*1)*Tax)-'Cash Flow Model'!C16*1+'Cash Flow Model'!C22*1+'Cash Flow Model'!C24*1*(1+E$4)+'Cash Flow Model'!C25*1)</f>
        <v>-900000</v>
      </c>
      <c r="I48" s="60" t="n">
        <f aca="false">IF('Cash Flow Model'!D$4&gt;N,0,('Cash Flow Model'!D11*1*(1+E$4)+'Cash Flow Model'!D12*(1+E$4)*1+'Cash Flow Model'!D13*1+'Cash Flow Model'!D16*1)-MAX(0,('Cash Flow Model'!D11*1*(1+E$4)+'Cash Flow Model'!D12*(1+E$4)*1+'Cash Flow Model'!D13*1+'Cash Flow Model'!D16*1)*Tax)-'Cash Flow Model'!D16*1+'Cash Flow Model'!D22*1+'Cash Flow Model'!D24*1*(1+E$4)+'Cash Flow Model'!D25*1)</f>
        <v>-19849.9999999999</v>
      </c>
      <c r="J48" s="60" t="n">
        <f aca="false">IF('Cash Flow Model'!E$4&gt;N,0,('Cash Flow Model'!E11*1*(1+E$4)+'Cash Flow Model'!E12*(1+E$4)*1+'Cash Flow Model'!E13*1+'Cash Flow Model'!E16*1)-MAX(0,('Cash Flow Model'!E11*1*(1+E$4)+'Cash Flow Model'!E12*(1+E$4)*1+'Cash Flow Model'!E13*1+'Cash Flow Model'!E16*1)*Tax)-'Cash Flow Model'!E16*1+'Cash Flow Model'!E22*1+'Cash Flow Model'!E24*1*(1+E$4)+'Cash Flow Model'!E25*1)</f>
        <v>225628.04</v>
      </c>
      <c r="K48" s="60" t="n">
        <f aca="false">IF('Cash Flow Model'!F$4&gt;N,0,('Cash Flow Model'!F11*1*(1+E$4)+'Cash Flow Model'!F12*(1+E$4)*1+'Cash Flow Model'!F13*1+'Cash Flow Model'!F16*1)-MAX(0,('Cash Flow Model'!F11*1*(1+E$4)+'Cash Flow Model'!F12*(1+E$4)*1+'Cash Flow Model'!F13*1+'Cash Flow Model'!F16*1)*Tax)-'Cash Flow Model'!F16*1+'Cash Flow Model'!F22*1+'Cash Flow Model'!F24*1*(1+E$4)+'Cash Flow Model'!F25*1)</f>
        <v>326397.69288</v>
      </c>
      <c r="L48" s="60" t="n">
        <f aca="false">IF('Cash Flow Model'!G$4&gt;N,0,('Cash Flow Model'!G11*1*(1+E$4)+'Cash Flow Model'!G12*(1+E$4)*1+'Cash Flow Model'!G13*1+'Cash Flow Model'!G16*1)-MAX(0,('Cash Flow Model'!G11*1*(1+E$4)+'Cash Flow Model'!G12*(1+E$4)*1+'Cash Flow Model'!G13*1+'Cash Flow Model'!G16*1)*Tax)-'Cash Flow Model'!G16*1+'Cash Flow Model'!G22*1+'Cash Flow Model'!G24*1*(1+E$4)+'Cash Flow Model'!G25*1)</f>
        <v>375252.906873056</v>
      </c>
      <c r="M48" s="60" t="n">
        <f aca="false">IF('Cash Flow Model'!H$4&gt;N,0,('Cash Flow Model'!H11*1*(1+E$4)+'Cash Flow Model'!H12*(1+E$4)*1+'Cash Flow Model'!H13*1+'Cash Flow Model'!H16*1)-MAX(0,('Cash Flow Model'!H11*1*(1+E$4)+'Cash Flow Model'!H12*(1+E$4)*1+'Cash Flow Model'!H13*1+'Cash Flow Model'!H16*1)*Tax)-'Cash Flow Model'!H16*1+'Cash Flow Model'!H22*1+'Cash Flow Model'!H24*1*(1+E$4)+'Cash Flow Model'!H25*1)</f>
        <v>408899.229917418</v>
      </c>
      <c r="N48" s="60" t="n">
        <f aca="false">IF('Cash Flow Model'!I$4&gt;N,0,('Cash Flow Model'!I11*1*(1+E$4)+'Cash Flow Model'!I12*(1+E$4)*1+'Cash Flow Model'!I13*1+'Cash Flow Model'!I16*1)-MAX(0,('Cash Flow Model'!I11*1*(1+E$4)+'Cash Flow Model'!I12*(1+E$4)*1+'Cash Flow Model'!I13*1+'Cash Flow Model'!I16*1)*Tax)-'Cash Flow Model'!I16*1+'Cash Flow Model'!I22*1+'Cash Flow Model'!I24*1*(1+E$4)+'Cash Flow Model'!I25*1)</f>
        <v>445194.410644788</v>
      </c>
      <c r="O48" s="60" t="n">
        <f aca="false">IF('Cash Flow Model'!J$4&gt;N,0,('Cash Flow Model'!J11*1*(1+E$4)+'Cash Flow Model'!J12*(1+E$4)*1+'Cash Flow Model'!J13*1+'Cash Flow Model'!J16*1)-MAX(0,('Cash Flow Model'!J11*1*(1+E$4)+'Cash Flow Model'!J12*(1+E$4)*1+'Cash Flow Model'!J13*1+'Cash Flow Model'!J16*1)*Tax)-'Cash Flow Model'!J16*1+'Cash Flow Model'!J22*1+'Cash Flow Model'!J24*1*(1+E$4)+'Cash Flow Model'!J25*1)</f>
        <v>484334.644906665</v>
      </c>
      <c r="P48" s="60" t="n">
        <f aca="false">IF('Cash Flow Model'!K$4&gt;N,0,('Cash Flow Model'!K11*1*(1+E$4)+'Cash Flow Model'!K12*(1+E$4)*1+'Cash Flow Model'!K13*1+'Cash Flow Model'!K16*1)-MAX(0,('Cash Flow Model'!K11*1*(1+E$4)+'Cash Flow Model'!K12*(1+E$4)*1+'Cash Flow Model'!K13*1+'Cash Flow Model'!K16*1)*Tax)-'Cash Flow Model'!K16*1+'Cash Flow Model'!K22*1+'Cash Flow Model'!K24*1*(1+E$4)+'Cash Flow Model'!K25*1)</f>
        <v>526530.325614705</v>
      </c>
      <c r="Q48" s="60" t="n">
        <f aca="false">IF('Cash Flow Model'!L$4&gt;N,0,('Cash Flow Model'!L11*1*(1+E$4)+'Cash Flow Model'!L12*(1+E$4)*1+'Cash Flow Model'!L13*1+'Cash Flow Model'!L16*1)-MAX(0,('Cash Flow Model'!L11*1*(1+E$4)+'Cash Flow Model'!L12*(1+E$4)*1+'Cash Flow Model'!L13*1+'Cash Flow Model'!L16*1)*Tax)-'Cash Flow Model'!L16*1+'Cash Flow Model'!L22*1+'Cash Flow Model'!L24*1*(1+E$4)+'Cash Flow Model'!L25*1)</f>
        <v>572007.060408879</v>
      </c>
      <c r="R48" s="60" t="n">
        <f aca="false">IF('Cash Flow Model'!M$4&gt;N,0,('Cash Flow Model'!M11*1*(1+E$4)+'Cash Flow Model'!M12*(1+E$4)*1+'Cash Flow Model'!M13*1+'Cash Flow Model'!M16*1)-MAX(0,('Cash Flow Model'!M11*1*(1+E$4)+'Cash Flow Model'!M12*(1+E$4)*1+'Cash Flow Model'!M13*1+'Cash Flow Model'!M16*1)*Tax)-'Cash Flow Model'!M16*1+'Cash Flow Model'!M22*1+'Cash Flow Model'!M24*1*(1+E$4)+'Cash Flow Model'!M25*1)</f>
        <v>975287.661346956</v>
      </c>
    </row>
    <row r="49" customFormat="false" ht="15" hidden="false" customHeight="false" outlineLevel="0" collapsed="false">
      <c r="A49" s="59" t="str">
        <f aca="false">$A6&amp;" "&amp;TEXT(F$4,"+0%;-0%;0%")</f>
        <v>Sales volume +20%</v>
      </c>
      <c r="H49" s="60" t="n">
        <f aca="false">IF('Cash Flow Model'!C$4&gt;N,0,('Cash Flow Model'!C11*1*(1+F$4)+'Cash Flow Model'!C12*(1+F$4)*1+'Cash Flow Model'!C13*1+'Cash Flow Model'!C16*1)-MAX(0,('Cash Flow Model'!C11*1*(1+F$4)+'Cash Flow Model'!C12*(1+F$4)*1+'Cash Flow Model'!C13*1+'Cash Flow Model'!C16*1)*Tax)-'Cash Flow Model'!C16*1+'Cash Flow Model'!C22*1+'Cash Flow Model'!C24*1*(1+F$4)+'Cash Flow Model'!C25*1)</f>
        <v>-900000</v>
      </c>
      <c r="I49" s="60" t="n">
        <f aca="false">IF('Cash Flow Model'!D$4&gt;N,0,('Cash Flow Model'!D11*1*(1+F$4)+'Cash Flow Model'!D12*(1+F$4)*1+'Cash Flow Model'!D13*1+'Cash Flow Model'!D16*1)-MAX(0,('Cash Flow Model'!D11*1*(1+F$4)+'Cash Flow Model'!D12*(1+F$4)*1+'Cash Flow Model'!D13*1+'Cash Flow Model'!D16*1)*Tax)-'Cash Flow Model'!D16*1+'Cash Flow Model'!D22*1+'Cash Flow Model'!D24*1*(1+F$4)+'Cash Flow Model'!D25*1)</f>
        <v>2550</v>
      </c>
      <c r="J49" s="60" t="n">
        <f aca="false">IF('Cash Flow Model'!E$4&gt;N,0,('Cash Flow Model'!E11*1*(1+F$4)+'Cash Flow Model'!E12*(1+F$4)*1+'Cash Flow Model'!E13*1+'Cash Flow Model'!E16*1)-MAX(0,('Cash Flow Model'!E11*1*(1+F$4)+'Cash Flow Model'!E12*(1+F$4)*1+'Cash Flow Model'!E13*1+'Cash Flow Model'!E16*1)*Tax)-'Cash Flow Model'!E16*1+'Cash Flow Model'!E22*1+'Cash Flow Model'!E24*1*(1+F$4)+'Cash Flow Model'!E25*1)</f>
        <v>261764.68</v>
      </c>
      <c r="K49" s="60" t="n">
        <f aca="false">IF('Cash Flow Model'!F$4&gt;N,0,('Cash Flow Model'!F11*1*(1+F$4)+'Cash Flow Model'!F12*(1+F$4)*1+'Cash Flow Model'!F13*1+'Cash Flow Model'!F16*1)-MAX(0,('Cash Flow Model'!F11*1*(1+F$4)+'Cash Flow Model'!F12*(1+F$4)*1+'Cash Flow Model'!F13*1+'Cash Flow Model'!F16*1)*Tax)-'Cash Flow Model'!F16*1+'Cash Flow Model'!F22*1+'Cash Flow Model'!F24*1*(1+F$4)+'Cash Flow Model'!F25*1)</f>
        <v>372221.91496</v>
      </c>
      <c r="L49" s="60" t="n">
        <f aca="false">IF('Cash Flow Model'!G$4&gt;N,0,('Cash Flow Model'!G11*1*(1+F$4)+'Cash Flow Model'!G12*(1+F$4)*1+'Cash Flow Model'!G13*1+'Cash Flow Model'!G16*1)-MAX(0,('Cash Flow Model'!G11*1*(1+F$4)+'Cash Flow Model'!G12*(1+F$4)*1+'Cash Flow Model'!G13*1+'Cash Flow Model'!G16*1)*Tax)-'Cash Flow Model'!G16*1+'Cash Flow Model'!G22*1+'Cash Flow Model'!G24*1*(1+F$4)+'Cash Flow Model'!G25*1)</f>
        <v>426061.017725152</v>
      </c>
      <c r="M49" s="60" t="n">
        <f aca="false">IF('Cash Flow Model'!H$4&gt;N,0,('Cash Flow Model'!H11*1*(1+F$4)+'Cash Flow Model'!H12*(1+F$4)*1+'Cash Flow Model'!H13*1+'Cash Flow Model'!H16*1)-MAX(0,('Cash Flow Model'!H11*1*(1+F$4)+'Cash Flow Model'!H12*(1+F$4)*1+'Cash Flow Model'!H13*1+'Cash Flow Model'!H16*1)*Tax)-'Cash Flow Model'!H16*1+'Cash Flow Model'!H22*1+'Cash Flow Model'!H24*1*(1+F$4)+'Cash Flow Model'!H25*1)</f>
        <v>463324.878262183</v>
      </c>
      <c r="N49" s="60" t="n">
        <f aca="false">IF('Cash Flow Model'!I$4&gt;N,0,('Cash Flow Model'!I11*1*(1+F$4)+'Cash Flow Model'!I12*(1+F$4)*1+'Cash Flow Model'!I13*1+'Cash Flow Model'!I16*1)-MAX(0,('Cash Flow Model'!I11*1*(1+F$4)+'Cash Flow Model'!I12*(1+F$4)*1+'Cash Flow Model'!I13*1+'Cash Flow Model'!I16*1)*Tax)-'Cash Flow Model'!I16*1+'Cash Flow Model'!I22*1+'Cash Flow Model'!I24*1*(1+F$4)+'Cash Flow Model'!I25*1)</f>
        <v>503495.1651517</v>
      </c>
      <c r="O49" s="60" t="n">
        <f aca="false">IF('Cash Flow Model'!J$4&gt;N,0,('Cash Flow Model'!J11*1*(1+F$4)+'Cash Flow Model'!J12*(1+F$4)*1+'Cash Flow Model'!J13*1+'Cash Flow Model'!J16*1)-MAX(0,('Cash Flow Model'!J11*1*(1+F$4)+'Cash Flow Model'!J12*(1+F$4)*1+'Cash Flow Model'!J13*1+'Cash Flow Model'!J16*1)*Tax)-'Cash Flow Model'!J16*1+'Cash Flow Model'!J22*1+'Cash Flow Model'!J24*1*(1+F$4)+'Cash Flow Model'!J25*1)</f>
        <v>546786.413134469</v>
      </c>
      <c r="P49" s="60" t="n">
        <f aca="false">IF('Cash Flow Model'!K$4&gt;N,0,('Cash Flow Model'!K11*1*(1+F$4)+'Cash Flow Model'!K12*(1+F$4)*1+'Cash Flow Model'!K13*1+'Cash Flow Model'!K16*1)-MAX(0,('Cash Flow Model'!K11*1*(1+F$4)+'Cash Flow Model'!K12*(1+F$4)*1+'Cash Flow Model'!K13*1+'Cash Flow Model'!K16*1)*Tax)-'Cash Flow Model'!K16*1+'Cash Flow Model'!K22*1+'Cash Flow Model'!K24*1*(1+F$4)+'Cash Flow Model'!K25*1)</f>
        <v>593428.65974033</v>
      </c>
      <c r="Q49" s="60" t="n">
        <f aca="false">IF('Cash Flow Model'!L$4&gt;N,0,('Cash Flow Model'!L11*1*(1+F$4)+'Cash Flow Model'!L12*(1+F$4)*1+'Cash Flow Model'!L13*1+'Cash Flow Model'!L16*1)-MAX(0,('Cash Flow Model'!L11*1*(1+F$4)+'Cash Flow Model'!L12*(1+F$4)*1+'Cash Flow Model'!L13*1+'Cash Flow Model'!L16*1)*Tax)-'Cash Flow Model'!L16*1+'Cash Flow Model'!L22*1+'Cash Flow Model'!L24*1*(1+F$4)+'Cash Flow Model'!L25*1)</f>
        <v>643668.555924248</v>
      </c>
      <c r="R49" s="60" t="n">
        <f aca="false">IF('Cash Flow Model'!M$4&gt;N,0,('Cash Flow Model'!M11*1*(1+F$4)+'Cash Flow Model'!M12*(1+F$4)*1+'Cash Flow Model'!M13*1+'Cash Flow Model'!M16*1)-MAX(0,('Cash Flow Model'!M11*1*(1+F$4)+'Cash Flow Model'!M12*(1+F$4)*1+'Cash Flow Model'!M13*1+'Cash Flow Model'!M16*1)*Tax)-'Cash Flow Model'!M16*1+'Cash Flow Model'!M22*1+'Cash Flow Model'!M24*1*(1+F$4)+'Cash Flow Model'!M25*1)</f>
        <v>1070622.44619377</v>
      </c>
    </row>
    <row r="50" customFormat="false" ht="15" hidden="false" customHeight="false" outlineLevel="0" collapsed="false">
      <c r="A50" s="59" t="str">
        <f aca="false">$A7&amp;" "&amp;TEXT(B$4,"+0%;-0%;0%")</f>
        <v>Variable cost per unit -20%</v>
      </c>
      <c r="H50" s="60" t="n">
        <f aca="false">IF('Cash Flow Model'!C$4&gt;N,0,('Cash Flow Model'!C11*1*1+'Cash Flow Model'!C12*1*(1+B$4)+'Cash Flow Model'!C13*1+'Cash Flow Model'!C16*1)-MAX(0,('Cash Flow Model'!C11*1*1+'Cash Flow Model'!C12*1*(1+B$4)+'Cash Flow Model'!C13*1+'Cash Flow Model'!C16*1)*Tax)-'Cash Flow Model'!C16*1+'Cash Flow Model'!C22*1+'Cash Flow Model'!C24*1*1+'Cash Flow Model'!C25*1)</f>
        <v>-900000</v>
      </c>
      <c r="I50" s="60" t="n">
        <f aca="false">IF('Cash Flow Model'!D$4&gt;N,0,('Cash Flow Model'!D11*1*1+'Cash Flow Model'!D12*1*(1+B$4)+'Cash Flow Model'!D13*1+'Cash Flow Model'!D16*1)-MAX(0,('Cash Flow Model'!D11*1*1+'Cash Flow Model'!D12*1*(1+B$4)+'Cash Flow Model'!D13*1+'Cash Flow Model'!D16*1)*Tax)-'Cash Flow Model'!D16*1+'Cash Flow Model'!D22*1+'Cash Flow Model'!D24*1*1+'Cash Flow Model'!D25*1)</f>
        <v>3950</v>
      </c>
      <c r="J50" s="60" t="n">
        <f aca="false">IF('Cash Flow Model'!E$4&gt;N,0,('Cash Flow Model'!E11*1*1+'Cash Flow Model'!E12*1*(1+B$4)+'Cash Flow Model'!E13*1+'Cash Flow Model'!E16*1)-MAX(0,('Cash Flow Model'!E11*1*1+'Cash Flow Model'!E12*1*(1+B$4)+'Cash Flow Model'!E13*1+'Cash Flow Model'!E16*1)*Tax)-'Cash Flow Model'!E16*1+'Cash Flow Model'!E22*1+'Cash Flow Model'!E24*1*1+'Cash Flow Model'!E25*1)</f>
        <v>249585.72</v>
      </c>
      <c r="K50" s="60" t="n">
        <f aca="false">IF('Cash Flow Model'!F$4&gt;N,0,('Cash Flow Model'!F11*1*1+'Cash Flow Model'!F12*1*(1+B$4)+'Cash Flow Model'!F13*1+'Cash Flow Model'!F16*1)-MAX(0,('Cash Flow Model'!F11*1*1+'Cash Flow Model'!F12*1*(1+B$4)+'Cash Flow Model'!F13*1+'Cash Flow Model'!F16*1)*Tax)-'Cash Flow Model'!F16*1+'Cash Flow Model'!F22*1+'Cash Flow Model'!F24*1*1+'Cash Flow Model'!F25*1)</f>
        <v>356306.45384</v>
      </c>
      <c r="L50" s="60" t="n">
        <f aca="false">IF('Cash Flow Model'!G$4&gt;N,0,('Cash Flow Model'!G11*1*1+'Cash Flow Model'!G12*1*(1+B$4)+'Cash Flow Model'!G13*1+'Cash Flow Model'!G16*1)-MAX(0,('Cash Flow Model'!G11*1*1+'Cash Flow Model'!G12*1*(1+B$4)+'Cash Flow Model'!G13*1+'Cash Flow Model'!G16*1)*Tax)-'Cash Flow Model'!G16*1+'Cash Flow Model'!G22*1+'Cash Flow Model'!G24*1*1+'Cash Flow Model'!G25*1)</f>
        <v>405569.967453408</v>
      </c>
      <c r="M50" s="60" t="n">
        <f aca="false">IF('Cash Flow Model'!H$4&gt;N,0,('Cash Flow Model'!H11*1*1+'Cash Flow Model'!H12*1*(1+B$4)+'Cash Flow Model'!H13*1+'Cash Flow Model'!H16*1)-MAX(0,('Cash Flow Model'!H11*1*1+'Cash Flow Model'!H12*1*(1+B$4)+'Cash Flow Model'!H13*1+'Cash Flow Model'!H16*1)*Tax)-'Cash Flow Model'!H16*1+'Cash Flow Model'!H22*1+'Cash Flow Model'!H24*1*1+'Cash Flow Model'!H25*1)</f>
        <v>441374.865211091</v>
      </c>
      <c r="N50" s="60" t="n">
        <f aca="false">IF('Cash Flow Model'!I$4&gt;N,0,('Cash Flow Model'!I11*1*1+'Cash Flow Model'!I12*1*(1+B$4)+'Cash Flow Model'!I13*1+'Cash Flow Model'!I16*1)-MAX(0,('Cash Flow Model'!I11*1*1+'Cash Flow Model'!I12*1*(1+B$4)+'Cash Flow Model'!I13*1+'Cash Flow Model'!I16*1)*Tax)-'Cash Flow Model'!I16*1+'Cash Flow Model'!I22*1+'Cash Flow Model'!I24*1*1+'Cash Flow Model'!I25*1)</f>
        <v>479982.31117137</v>
      </c>
      <c r="O50" s="60" t="n">
        <f aca="false">IF('Cash Flow Model'!J$4&gt;N,0,('Cash Flow Model'!J11*1*1+'Cash Flow Model'!J12*1*(1+B$4)+'Cash Flow Model'!J13*1+'Cash Flow Model'!J16*1)-MAX(0,('Cash Flow Model'!J11*1*1+'Cash Flow Model'!J12*1*(1+B$4)+'Cash Flow Model'!J13*1+'Cash Flow Model'!J16*1)*Tax)-'Cash Flow Model'!J16*1+'Cash Flow Model'!J22*1+'Cash Flow Model'!J24*1*1+'Cash Flow Model'!J25*1)</f>
        <v>521599.44395074</v>
      </c>
      <c r="P50" s="60" t="n">
        <f aca="false">IF('Cash Flow Model'!K$4&gt;N,0,('Cash Flow Model'!K11*1*1+'Cash Flow Model'!K12*1*(1+B$4)+'Cash Flow Model'!K13*1+'Cash Flow Model'!K16*1)-MAX(0,('Cash Flow Model'!K11*1*1+'Cash Flow Model'!K12*1*(1+B$4)+'Cash Flow Model'!K13*1+'Cash Flow Model'!K16*1)*Tax)-'Cash Flow Model'!K16*1+'Cash Flow Model'!K22*1+'Cash Flow Model'!K24*1*1+'Cash Flow Model'!K25*1)</f>
        <v>566448.378350719</v>
      </c>
      <c r="Q50" s="60" t="n">
        <f aca="false">IF('Cash Flow Model'!L$4&gt;N,0,('Cash Flow Model'!L11*1*1+'Cash Flow Model'!L12*1*(1+B$4)+'Cash Flow Model'!L13*1+'Cash Flow Model'!L16*1)-MAX(0,('Cash Flow Model'!L11*1*1+'Cash Flow Model'!L12*1*(1+B$4)+'Cash Flow Model'!L13*1+'Cash Flow Model'!L16*1)*Tax)-'Cash Flow Model'!L16*1+'Cash Flow Model'!L22*1+'Cash Flow Model'!L24*1*1+'Cash Flow Model'!L25*1)</f>
        <v>614767.278499697</v>
      </c>
      <c r="R50" s="60" t="n">
        <f aca="false">IF('Cash Flow Model'!M$4&gt;N,0,('Cash Flow Model'!M11*1*1+'Cash Flow Model'!M12*1*(1+B$4)+'Cash Flow Model'!M13*1+'Cash Flow Model'!M16*1)-MAX(0,('Cash Flow Model'!M11*1*1+'Cash Flow Model'!M12*1*(1+B$4)+'Cash Flow Model'!M13*1+'Cash Flow Model'!M16*1)*Tax)-'Cash Flow Model'!M16*1+'Cash Flow Model'!M22*1+'Cash Flow Model'!M24*1*1+'Cash Flow Model'!M25*1)</f>
        <v>1002521.41611509</v>
      </c>
    </row>
    <row r="51" customFormat="false" ht="15" hidden="false" customHeight="false" outlineLevel="0" collapsed="false">
      <c r="A51" s="59" t="str">
        <f aca="false">$A7&amp;" "&amp;TEXT(C$4,"+0%;-0%;0%")</f>
        <v>Variable cost per unit -10%</v>
      </c>
      <c r="H51" s="60" t="n">
        <f aca="false">IF('Cash Flow Model'!C$4&gt;N,0,('Cash Flow Model'!C11*1*1+'Cash Flow Model'!C12*1*(1+C$4)+'Cash Flow Model'!C13*1+'Cash Flow Model'!C16*1)-MAX(0,('Cash Flow Model'!C11*1*1+'Cash Flow Model'!C12*1*(1+C$4)+'Cash Flow Model'!C13*1+'Cash Flow Model'!C16*1)*Tax)-'Cash Flow Model'!C16*1+'Cash Flow Model'!C22*1+'Cash Flow Model'!C24*1*1+'Cash Flow Model'!C25*1)</f>
        <v>-900000</v>
      </c>
      <c r="I51" s="60" t="n">
        <f aca="false">IF('Cash Flow Model'!D$4&gt;N,0,('Cash Flow Model'!D11*1*1+'Cash Flow Model'!D12*1*(1+C$4)+'Cash Flow Model'!D13*1+'Cash Flow Model'!D16*1)-MAX(0,('Cash Flow Model'!D11*1*1+'Cash Flow Model'!D12*1*(1+C$4)+'Cash Flow Model'!D13*1+'Cash Flow Model'!D16*1)*Tax)-'Cash Flow Model'!D16*1+'Cash Flow Model'!D22*1+'Cash Flow Model'!D24*1*1+'Cash Flow Model'!D25*1)</f>
        <v>-19150</v>
      </c>
      <c r="J51" s="60" t="n">
        <f aca="false">IF('Cash Flow Model'!E$4&gt;N,0,('Cash Flow Model'!E11*1*1+'Cash Flow Model'!E12*1*(1+C$4)+'Cash Flow Model'!E13*1+'Cash Flow Model'!E16*1)-MAX(0,('Cash Flow Model'!E11*1*1+'Cash Flow Model'!E12*1*(1+C$4)+'Cash Flow Model'!E13*1+'Cash Flow Model'!E16*1)*Tax)-'Cash Flow Model'!E16*1+'Cash Flow Model'!E22*1+'Cash Flow Model'!E24*1*1+'Cash Flow Model'!E25*1)</f>
        <v>219538.56</v>
      </c>
      <c r="K51" s="60" t="n">
        <f aca="false">IF('Cash Flow Model'!F$4&gt;N,0,('Cash Flow Model'!F11*1*1+'Cash Flow Model'!F12*1*(1+C$4)+'Cash Flow Model'!F13*1+'Cash Flow Model'!F16*1)-MAX(0,('Cash Flow Model'!F11*1*1+'Cash Flow Model'!F12*1*(1+C$4)+'Cash Flow Model'!F13*1+'Cash Flow Model'!F16*1)*Tax)-'Cash Flow Model'!F16*1+'Cash Flow Model'!F22*1+'Cash Flow Model'!F24*1*1+'Cash Flow Model'!F25*1)</f>
        <v>318439.96232</v>
      </c>
      <c r="L51" s="60" t="n">
        <f aca="false">IF('Cash Flow Model'!G$4&gt;N,0,('Cash Flow Model'!G11*1*1+'Cash Flow Model'!G12*1*(1+C$4)+'Cash Flow Model'!G13*1+'Cash Flow Model'!G16*1)-MAX(0,('Cash Flow Model'!G11*1*1+'Cash Flow Model'!G12*1*(1+C$4)+'Cash Flow Model'!G13*1+'Cash Flow Model'!G16*1)*Tax)-'Cash Flow Model'!G16*1+'Cash Flow Model'!G22*1+'Cash Flow Model'!G24*1*1+'Cash Flow Model'!G25*1)</f>
        <v>365007.381737184</v>
      </c>
      <c r="M51" s="60" t="n">
        <f aca="false">IF('Cash Flow Model'!H$4&gt;N,0,('Cash Flow Model'!H11*1*1+'Cash Flow Model'!H12*1*(1+C$4)+'Cash Flow Model'!H13*1+'Cash Flow Model'!H16*1)-MAX(0,('Cash Flow Model'!H11*1*1+'Cash Flow Model'!H12*1*(1+C$4)+'Cash Flow Model'!H13*1+'Cash Flow Model'!H16*1)*Tax)-'Cash Flow Model'!H16*1+'Cash Flow Model'!H22*1+'Cash Flow Model'!H24*1*1+'Cash Flow Model'!H25*1)</f>
        <v>397924.223391872</v>
      </c>
      <c r="N51" s="60" t="n">
        <f aca="false">IF('Cash Flow Model'!I$4&gt;N,0,('Cash Flow Model'!I11*1*1+'Cash Flow Model'!I12*1*(1+C$4)+'Cash Flow Model'!I13*1+'Cash Flow Model'!I16*1)-MAX(0,('Cash Flow Model'!I11*1*1+'Cash Flow Model'!I12*1*(1+C$4)+'Cash Flow Model'!I13*1+'Cash Flow Model'!I16*1)*Tax)-'Cash Flow Model'!I16*1+'Cash Flow Model'!I22*1+'Cash Flow Model'!I24*1*1+'Cash Flow Model'!I25*1)</f>
        <v>433437.983654623</v>
      </c>
      <c r="O51" s="60" t="n">
        <f aca="false">IF('Cash Flow Model'!J$4&gt;N,0,('Cash Flow Model'!J11*1*1+'Cash Flow Model'!J12*1*(1+C$4)+'Cash Flow Model'!J13*1+'Cash Flow Model'!J16*1)-MAX(0,('Cash Flow Model'!J11*1*1+'Cash Flow Model'!J12*1*(1+C$4)+'Cash Flow Model'!J13*1+'Cash Flow Model'!J16*1)*Tax)-'Cash Flow Model'!J16*1+'Cash Flow Model'!J22*1+'Cash Flow Model'!J24*1*1+'Cash Flow Model'!J25*1)</f>
        <v>471741.1603148</v>
      </c>
      <c r="P51" s="60" t="n">
        <f aca="false">IF('Cash Flow Model'!K$4&gt;N,0,('Cash Flow Model'!K11*1*1+'Cash Flow Model'!K12*1*(1+C$4)+'Cash Flow Model'!K13*1+'Cash Flow Model'!K16*1)-MAX(0,('Cash Flow Model'!K11*1*1+'Cash Flow Model'!K12*1*(1+C$4)+'Cash Flow Model'!K13*1+'Cash Flow Model'!K16*1)*Tax)-'Cash Flow Model'!K16*1+'Cash Flow Model'!K22*1+'Cash Flow Model'!K24*1*1+'Cash Flow Model'!K25*1)</f>
        <v>513040.1849199</v>
      </c>
      <c r="Q51" s="60" t="n">
        <f aca="false">IF('Cash Flow Model'!L$4&gt;N,0,('Cash Flow Model'!L11*1*1+'Cash Flow Model'!L12*1*(1+C$4)+'Cash Flow Model'!L13*1+'Cash Flow Model'!L16*1)-MAX(0,('Cash Flow Model'!L11*1*1+'Cash Flow Model'!L12*1*(1+C$4)+'Cash Flow Model'!L13*1+'Cash Flow Model'!L16*1)*Tax)-'Cash Flow Model'!L16*1+'Cash Flow Model'!L22*1+'Cash Flow Model'!L24*1*1+'Cash Flow Model'!L25*1)</f>
        <v>557556.421696604</v>
      </c>
      <c r="R51" s="60" t="n">
        <f aca="false">IF('Cash Flow Model'!M$4&gt;N,0,('Cash Flow Model'!M11*1*1+'Cash Flow Model'!M12*1*(1+C$4)+'Cash Flow Model'!M13*1+'Cash Flow Model'!M16*1)-MAX(0,('Cash Flow Model'!M11*1*1+'Cash Flow Model'!M12*1*(1+C$4)+'Cash Flow Model'!M13*1+'Cash Flow Model'!M16*1)*Tax)-'Cash Flow Model'!M16*1+'Cash Flow Model'!M22*1+'Cash Flow Model'!M24*1*1+'Cash Flow Model'!M25*1)</f>
        <v>941237.146307617</v>
      </c>
    </row>
    <row r="52" customFormat="false" ht="15" hidden="false" customHeight="false" outlineLevel="0" collapsed="false">
      <c r="A52" s="59" t="str">
        <f aca="false">$A7&amp;" "&amp;TEXT(D$4,"+0%;-0%;0%")</f>
        <v>Variable cost per unit 0%</v>
      </c>
      <c r="H52" s="60" t="n">
        <f aca="false">IF('Cash Flow Model'!C$4&gt;N,0,('Cash Flow Model'!C11*1*1+'Cash Flow Model'!C12*1*(1+D$4)+'Cash Flow Model'!C13*1+'Cash Flow Model'!C16*1)-MAX(0,('Cash Flow Model'!C11*1*1+'Cash Flow Model'!C12*1*(1+D$4)+'Cash Flow Model'!C13*1+'Cash Flow Model'!C16*1)*Tax)-'Cash Flow Model'!C16*1+'Cash Flow Model'!C22*1+'Cash Flow Model'!C24*1*1+'Cash Flow Model'!C25*1)</f>
        <v>-900000</v>
      </c>
      <c r="I52" s="60" t="n">
        <f aca="false">IF('Cash Flow Model'!D$4&gt;N,0,('Cash Flow Model'!D11*1*1+'Cash Flow Model'!D12*1*(1+D$4)+'Cash Flow Model'!D13*1+'Cash Flow Model'!D16*1)-MAX(0,('Cash Flow Model'!D11*1*1+'Cash Flow Model'!D12*1*(1+D$4)+'Cash Flow Model'!D13*1+'Cash Flow Model'!D16*1)*Tax)-'Cash Flow Model'!D16*1+'Cash Flow Model'!D22*1+'Cash Flow Model'!D24*1*1+'Cash Flow Model'!D25*1)</f>
        <v>-42250</v>
      </c>
      <c r="J52" s="60" t="n">
        <f aca="false">IF('Cash Flow Model'!E$4&gt;N,0,('Cash Flow Model'!E11*1*1+'Cash Flow Model'!E12*1*(1+D$4)+'Cash Flow Model'!E13*1+'Cash Flow Model'!E16*1)-MAX(0,('Cash Flow Model'!E11*1*1+'Cash Flow Model'!E12*1*(1+D$4)+'Cash Flow Model'!E13*1+'Cash Flow Model'!E16*1)*Tax)-'Cash Flow Model'!E16*1+'Cash Flow Model'!E22*1+'Cash Flow Model'!E24*1*1+'Cash Flow Model'!E25*1)</f>
        <v>189491.4</v>
      </c>
      <c r="K52" s="60" t="n">
        <f aca="false">IF('Cash Flow Model'!F$4&gt;N,0,('Cash Flow Model'!F11*1*1+'Cash Flow Model'!F12*1*(1+D$4)+'Cash Flow Model'!F13*1+'Cash Flow Model'!F16*1)-MAX(0,('Cash Flow Model'!F11*1*1+'Cash Flow Model'!F12*1*(1+D$4)+'Cash Flow Model'!F13*1+'Cash Flow Model'!F16*1)*Tax)-'Cash Flow Model'!F16*1+'Cash Flow Model'!F22*1+'Cash Flow Model'!F24*1*1+'Cash Flow Model'!F25*1)</f>
        <v>280573.4708</v>
      </c>
      <c r="L52" s="60" t="n">
        <f aca="false">IF('Cash Flow Model'!G$4&gt;N,0,('Cash Flow Model'!G11*1*1+'Cash Flow Model'!G12*1*(1+D$4)+'Cash Flow Model'!G13*1+'Cash Flow Model'!G16*1)-MAX(0,('Cash Flow Model'!G11*1*1+'Cash Flow Model'!G12*1*(1+D$4)+'Cash Flow Model'!G13*1+'Cash Flow Model'!G16*1)*Tax)-'Cash Flow Model'!G16*1+'Cash Flow Model'!G22*1+'Cash Flow Model'!G24*1*1+'Cash Flow Model'!G25*1)</f>
        <v>324444.79602096</v>
      </c>
      <c r="M52" s="60" t="n">
        <f aca="false">IF('Cash Flow Model'!H$4&gt;N,0,('Cash Flow Model'!H11*1*1+'Cash Flow Model'!H12*1*(1+D$4)+'Cash Flow Model'!H13*1+'Cash Flow Model'!H16*1)-MAX(0,('Cash Flow Model'!H11*1*1+'Cash Flow Model'!H12*1*(1+D$4)+'Cash Flow Model'!H13*1+'Cash Flow Model'!H16*1)*Tax)-'Cash Flow Model'!H16*1+'Cash Flow Model'!H22*1+'Cash Flow Model'!H24*1*1+'Cash Flow Model'!H25*1)</f>
        <v>354473.581572653</v>
      </c>
      <c r="N52" s="60" t="n">
        <f aca="false">IF('Cash Flow Model'!I$4&gt;N,0,('Cash Flow Model'!I11*1*1+'Cash Flow Model'!I12*1*(1+D$4)+'Cash Flow Model'!I13*1+'Cash Flow Model'!I16*1)-MAX(0,('Cash Flow Model'!I11*1*1+'Cash Flow Model'!I12*1*(1+D$4)+'Cash Flow Model'!I13*1+'Cash Flow Model'!I16*1)*Tax)-'Cash Flow Model'!I16*1+'Cash Flow Model'!I22*1+'Cash Flow Model'!I24*1*1+'Cash Flow Model'!I25*1)</f>
        <v>386893.656137875</v>
      </c>
      <c r="O52" s="60" t="n">
        <f aca="false">IF('Cash Flow Model'!J$4&gt;N,0,('Cash Flow Model'!J11*1*1+'Cash Flow Model'!J12*1*(1+D$4)+'Cash Flow Model'!J13*1+'Cash Flow Model'!J16*1)-MAX(0,('Cash Flow Model'!J11*1*1+'Cash Flow Model'!J12*1*(1+D$4)+'Cash Flow Model'!J13*1+'Cash Flow Model'!J16*1)*Tax)-'Cash Flow Model'!J16*1+'Cash Flow Model'!J22*1+'Cash Flow Model'!J24*1*1+'Cash Flow Model'!J25*1)</f>
        <v>421882.87667886</v>
      </c>
      <c r="P52" s="60" t="n">
        <f aca="false">IF('Cash Flow Model'!K$4&gt;N,0,('Cash Flow Model'!K11*1*1+'Cash Flow Model'!K12*1*(1+D$4)+'Cash Flow Model'!K13*1+'Cash Flow Model'!K16*1)-MAX(0,('Cash Flow Model'!K11*1*1+'Cash Flow Model'!K12*1*(1+D$4)+'Cash Flow Model'!K13*1+'Cash Flow Model'!K16*1)*Tax)-'Cash Flow Model'!K16*1+'Cash Flow Model'!K22*1+'Cash Flow Model'!K24*1*1+'Cash Flow Model'!K25*1)</f>
        <v>459631.991489081</v>
      </c>
      <c r="Q52" s="60" t="n">
        <f aca="false">IF('Cash Flow Model'!L$4&gt;N,0,('Cash Flow Model'!L11*1*1+'Cash Flow Model'!L12*1*(1+D$4)+'Cash Flow Model'!L13*1+'Cash Flow Model'!L16*1)-MAX(0,('Cash Flow Model'!L11*1*1+'Cash Flow Model'!L12*1*(1+D$4)+'Cash Flow Model'!L13*1+'Cash Flow Model'!L16*1)*Tax)-'Cash Flow Model'!L16*1+'Cash Flow Model'!L22*1+'Cash Flow Model'!L24*1*1+'Cash Flow Model'!L25*1)</f>
        <v>500345.564893511</v>
      </c>
      <c r="R52" s="60" t="n">
        <f aca="false">IF('Cash Flow Model'!M$4&gt;N,0,('Cash Flow Model'!M11*1*1+'Cash Flow Model'!M12*1*(1+D$4)+'Cash Flow Model'!M13*1+'Cash Flow Model'!M16*1)-MAX(0,('Cash Flow Model'!M11*1*1+'Cash Flow Model'!M12*1*(1+D$4)+'Cash Flow Model'!M13*1+'Cash Flow Model'!M16*1)*Tax)-'Cash Flow Model'!M16*1+'Cash Flow Model'!M22*1+'Cash Flow Model'!M24*1*1+'Cash Flow Model'!M25*1)</f>
        <v>879952.876500144</v>
      </c>
    </row>
    <row r="53" customFormat="false" ht="15" hidden="false" customHeight="false" outlineLevel="0" collapsed="false">
      <c r="A53" s="59" t="str">
        <f aca="false">$A7&amp;" "&amp;TEXT(E$4,"+0%;-0%;0%")</f>
        <v>Variable cost per unit +10%</v>
      </c>
      <c r="H53" s="60" t="n">
        <f aca="false">IF('Cash Flow Model'!C$4&gt;N,0,('Cash Flow Model'!C11*1*1+'Cash Flow Model'!C12*1*(1+E$4)+'Cash Flow Model'!C13*1+'Cash Flow Model'!C16*1)-MAX(0,('Cash Flow Model'!C11*1*1+'Cash Flow Model'!C12*1*(1+E$4)+'Cash Flow Model'!C13*1+'Cash Flow Model'!C16*1)*Tax)-'Cash Flow Model'!C16*1+'Cash Flow Model'!C22*1+'Cash Flow Model'!C24*1*1+'Cash Flow Model'!C25*1)</f>
        <v>-900000</v>
      </c>
      <c r="I53" s="60" t="n">
        <f aca="false">IF('Cash Flow Model'!D$4&gt;N,0,('Cash Flow Model'!D11*1*1+'Cash Flow Model'!D12*1*(1+E$4)+'Cash Flow Model'!D13*1+'Cash Flow Model'!D16*1)-MAX(0,('Cash Flow Model'!D11*1*1+'Cash Flow Model'!D12*1*(1+E$4)+'Cash Flow Model'!D13*1+'Cash Flow Model'!D16*1)*Tax)-'Cash Flow Model'!D16*1+'Cash Flow Model'!D22*1+'Cash Flow Model'!D24*1*1+'Cash Flow Model'!D25*1)</f>
        <v>-65350</v>
      </c>
      <c r="J53" s="60" t="n">
        <f aca="false">IF('Cash Flow Model'!E$4&gt;N,0,('Cash Flow Model'!E11*1*1+'Cash Flow Model'!E12*1*(1+E$4)+'Cash Flow Model'!E13*1+'Cash Flow Model'!E16*1)-MAX(0,('Cash Flow Model'!E11*1*1+'Cash Flow Model'!E12*1*(1+E$4)+'Cash Flow Model'!E13*1+'Cash Flow Model'!E16*1)*Tax)-'Cash Flow Model'!E16*1+'Cash Flow Model'!E22*1+'Cash Flow Model'!E24*1*1+'Cash Flow Model'!E25*1)</f>
        <v>159444.24</v>
      </c>
      <c r="K53" s="60" t="n">
        <f aca="false">IF('Cash Flow Model'!F$4&gt;N,0,('Cash Flow Model'!F11*1*1+'Cash Flow Model'!F12*1*(1+E$4)+'Cash Flow Model'!F13*1+'Cash Flow Model'!F16*1)-MAX(0,('Cash Flow Model'!F11*1*1+'Cash Flow Model'!F12*1*(1+E$4)+'Cash Flow Model'!F13*1+'Cash Flow Model'!F16*1)*Tax)-'Cash Flow Model'!F16*1+'Cash Flow Model'!F22*1+'Cash Flow Model'!F24*1*1+'Cash Flow Model'!F25*1)</f>
        <v>242706.97928</v>
      </c>
      <c r="L53" s="60" t="n">
        <f aca="false">IF('Cash Flow Model'!G$4&gt;N,0,('Cash Flow Model'!G11*1*1+'Cash Flow Model'!G12*1*(1+E$4)+'Cash Flow Model'!G13*1+'Cash Flow Model'!G16*1)-MAX(0,('Cash Flow Model'!G11*1*1+'Cash Flow Model'!G12*1*(1+E$4)+'Cash Flow Model'!G13*1+'Cash Flow Model'!G16*1)*Tax)-'Cash Flow Model'!G16*1+'Cash Flow Model'!G22*1+'Cash Flow Model'!G24*1*1+'Cash Flow Model'!G25*1)</f>
        <v>283882.210304736</v>
      </c>
      <c r="M53" s="60" t="n">
        <f aca="false">IF('Cash Flow Model'!H$4&gt;N,0,('Cash Flow Model'!H11*1*1+'Cash Flow Model'!H12*1*(1+E$4)+'Cash Flow Model'!H13*1+'Cash Flow Model'!H16*1)-MAX(0,('Cash Flow Model'!H11*1*1+'Cash Flow Model'!H12*1*(1+E$4)+'Cash Flow Model'!H13*1+'Cash Flow Model'!H16*1)*Tax)-'Cash Flow Model'!H16*1+'Cash Flow Model'!H22*1+'Cash Flow Model'!H24*1*1+'Cash Flow Model'!H25*1)</f>
        <v>311022.939753433</v>
      </c>
      <c r="N53" s="60" t="n">
        <f aca="false">IF('Cash Flow Model'!I$4&gt;N,0,('Cash Flow Model'!I11*1*1+'Cash Flow Model'!I12*1*(1+E$4)+'Cash Flow Model'!I13*1+'Cash Flow Model'!I16*1)-MAX(0,('Cash Flow Model'!I11*1*1+'Cash Flow Model'!I12*1*(1+E$4)+'Cash Flow Model'!I13*1+'Cash Flow Model'!I16*1)*Tax)-'Cash Flow Model'!I16*1+'Cash Flow Model'!I22*1+'Cash Flow Model'!I24*1*1+'Cash Flow Model'!I25*1)</f>
        <v>340349.328621128</v>
      </c>
      <c r="O53" s="60" t="n">
        <f aca="false">IF('Cash Flow Model'!J$4&gt;N,0,('Cash Flow Model'!J11*1*1+'Cash Flow Model'!J12*1*(1+E$4)+'Cash Flow Model'!J13*1+'Cash Flow Model'!J16*1)-MAX(0,('Cash Flow Model'!J11*1*1+'Cash Flow Model'!J12*1*(1+E$4)+'Cash Flow Model'!J13*1+'Cash Flow Model'!J16*1)*Tax)-'Cash Flow Model'!J16*1+'Cash Flow Model'!J22*1+'Cash Flow Model'!J24*1*1+'Cash Flow Model'!J25*1)</f>
        <v>372024.59304292</v>
      </c>
      <c r="P53" s="60" t="n">
        <f aca="false">IF('Cash Flow Model'!K$4&gt;N,0,('Cash Flow Model'!K11*1*1+'Cash Flow Model'!K12*1*(1+E$4)+'Cash Flow Model'!K13*1+'Cash Flow Model'!K16*1)-MAX(0,('Cash Flow Model'!K11*1*1+'Cash Flow Model'!K12*1*(1+E$4)+'Cash Flow Model'!K13*1+'Cash Flow Model'!K16*1)*Tax)-'Cash Flow Model'!K16*1+'Cash Flow Model'!K22*1+'Cash Flow Model'!K24*1*1+'Cash Flow Model'!K25*1)</f>
        <v>406223.798058262</v>
      </c>
      <c r="Q53" s="60" t="n">
        <f aca="false">IF('Cash Flow Model'!L$4&gt;N,0,('Cash Flow Model'!L11*1*1+'Cash Flow Model'!L12*1*(1+E$4)+'Cash Flow Model'!L13*1+'Cash Flow Model'!L16*1)-MAX(0,('Cash Flow Model'!L11*1*1+'Cash Flow Model'!L12*1*(1+E$4)+'Cash Flow Model'!L13*1+'Cash Flow Model'!L16*1)*Tax)-'Cash Flow Model'!L16*1+'Cash Flow Model'!L22*1+'Cash Flow Model'!L24*1*1+'Cash Flow Model'!L25*1)</f>
        <v>443134.708090417</v>
      </c>
      <c r="R53" s="60" t="n">
        <f aca="false">IF('Cash Flow Model'!M$4&gt;N,0,('Cash Flow Model'!M11*1*1+'Cash Flow Model'!M12*1*(1+E$4)+'Cash Flow Model'!M13*1+'Cash Flow Model'!M16*1)-MAX(0,('Cash Flow Model'!M11*1*1+'Cash Flow Model'!M12*1*(1+E$4)+'Cash Flow Model'!M13*1+'Cash Flow Model'!M16*1)*Tax)-'Cash Flow Model'!M16*1+'Cash Flow Model'!M22*1+'Cash Flow Model'!M24*1*1+'Cash Flow Model'!M25*1)</f>
        <v>818668.60669267</v>
      </c>
    </row>
    <row r="54" customFormat="false" ht="15" hidden="false" customHeight="false" outlineLevel="0" collapsed="false">
      <c r="A54" s="59" t="str">
        <f aca="false">$A7&amp;" "&amp;TEXT(F$4,"+0%;-0%;0%")</f>
        <v>Variable cost per unit +20%</v>
      </c>
      <c r="H54" s="60" t="n">
        <f aca="false">IF('Cash Flow Model'!C$4&gt;N,0,('Cash Flow Model'!C11*1*1+'Cash Flow Model'!C12*1*(1+F$4)+'Cash Flow Model'!C13*1+'Cash Flow Model'!C16*1)-MAX(0,('Cash Flow Model'!C11*1*1+'Cash Flow Model'!C12*1*(1+F$4)+'Cash Flow Model'!C13*1+'Cash Flow Model'!C16*1)*Tax)-'Cash Flow Model'!C16*1+'Cash Flow Model'!C22*1+'Cash Flow Model'!C24*1*1+'Cash Flow Model'!C25*1)</f>
        <v>-900000</v>
      </c>
      <c r="I54" s="60" t="n">
        <f aca="false">IF('Cash Flow Model'!D$4&gt;N,0,('Cash Flow Model'!D11*1*1+'Cash Flow Model'!D12*1*(1+F$4)+'Cash Flow Model'!D13*1+'Cash Flow Model'!D16*1)-MAX(0,('Cash Flow Model'!D11*1*1+'Cash Flow Model'!D12*1*(1+F$4)+'Cash Flow Model'!D13*1+'Cash Flow Model'!D16*1)*Tax)-'Cash Flow Model'!D16*1+'Cash Flow Model'!D22*1+'Cash Flow Model'!D24*1*1+'Cash Flow Model'!D25*1)</f>
        <v>-89600</v>
      </c>
      <c r="J54" s="60" t="n">
        <f aca="false">IF('Cash Flow Model'!E$4&gt;N,0,('Cash Flow Model'!E11*1*1+'Cash Flow Model'!E12*1*(1+F$4)+'Cash Flow Model'!E13*1+'Cash Flow Model'!E16*1)-MAX(0,('Cash Flow Model'!E11*1*1+'Cash Flow Model'!E12*1*(1+F$4)+'Cash Flow Model'!E13*1+'Cash Flow Model'!E16*1)*Tax)-'Cash Flow Model'!E16*1+'Cash Flow Model'!E22*1+'Cash Flow Model'!E24*1*1+'Cash Flow Model'!E25*1)</f>
        <v>129397.08</v>
      </c>
      <c r="K54" s="60" t="n">
        <f aca="false">IF('Cash Flow Model'!F$4&gt;N,0,('Cash Flow Model'!F11*1*1+'Cash Flow Model'!F12*1*(1+F$4)+'Cash Flow Model'!F13*1+'Cash Flow Model'!F16*1)-MAX(0,('Cash Flow Model'!F11*1*1+'Cash Flow Model'!F12*1*(1+F$4)+'Cash Flow Model'!F13*1+'Cash Flow Model'!F16*1)*Tax)-'Cash Flow Model'!F16*1+'Cash Flow Model'!F22*1+'Cash Flow Model'!F24*1*1+'Cash Flow Model'!F25*1)</f>
        <v>204840.48776</v>
      </c>
      <c r="L54" s="60" t="n">
        <f aca="false">IF('Cash Flow Model'!G$4&gt;N,0,('Cash Flow Model'!G11*1*1+'Cash Flow Model'!G12*1*(1+F$4)+'Cash Flow Model'!G13*1+'Cash Flow Model'!G16*1)-MAX(0,('Cash Flow Model'!G11*1*1+'Cash Flow Model'!G12*1*(1+F$4)+'Cash Flow Model'!G13*1+'Cash Flow Model'!G16*1)*Tax)-'Cash Flow Model'!G16*1+'Cash Flow Model'!G22*1+'Cash Flow Model'!G24*1*1+'Cash Flow Model'!G25*1)</f>
        <v>243319.624588512</v>
      </c>
      <c r="M54" s="60" t="n">
        <f aca="false">IF('Cash Flow Model'!H$4&gt;N,0,('Cash Flow Model'!H11*1*1+'Cash Flow Model'!H12*1*(1+F$4)+'Cash Flow Model'!H13*1+'Cash Flow Model'!H16*1)-MAX(0,('Cash Flow Model'!H11*1*1+'Cash Flow Model'!H12*1*(1+F$4)+'Cash Flow Model'!H13*1+'Cash Flow Model'!H16*1)*Tax)-'Cash Flow Model'!H16*1+'Cash Flow Model'!H22*1+'Cash Flow Model'!H24*1*1+'Cash Flow Model'!H25*1)</f>
        <v>267572.297934214</v>
      </c>
      <c r="N54" s="60" t="n">
        <f aca="false">IF('Cash Flow Model'!I$4&gt;N,0,('Cash Flow Model'!I11*1*1+'Cash Flow Model'!I12*1*(1+F$4)+'Cash Flow Model'!I13*1+'Cash Flow Model'!I16*1)-MAX(0,('Cash Flow Model'!I11*1*1+'Cash Flow Model'!I12*1*(1+F$4)+'Cash Flow Model'!I13*1+'Cash Flow Model'!I16*1)*Tax)-'Cash Flow Model'!I16*1+'Cash Flow Model'!I22*1+'Cash Flow Model'!I24*1*1+'Cash Flow Model'!I25*1)</f>
        <v>293805.00110438</v>
      </c>
      <c r="O54" s="60" t="n">
        <f aca="false">IF('Cash Flow Model'!J$4&gt;N,0,('Cash Flow Model'!J11*1*1+'Cash Flow Model'!J12*1*(1+F$4)+'Cash Flow Model'!J13*1+'Cash Flow Model'!J16*1)-MAX(0,('Cash Flow Model'!J11*1*1+'Cash Flow Model'!J12*1*(1+F$4)+'Cash Flow Model'!J13*1+'Cash Flow Model'!J16*1)*Tax)-'Cash Flow Model'!J16*1+'Cash Flow Model'!J22*1+'Cash Flow Model'!J24*1*1+'Cash Flow Model'!J25*1)</f>
        <v>322166.30940698</v>
      </c>
      <c r="P54" s="60" t="n">
        <f aca="false">IF('Cash Flow Model'!K$4&gt;N,0,('Cash Flow Model'!K11*1*1+'Cash Flow Model'!K12*1*(1+F$4)+'Cash Flow Model'!K13*1+'Cash Flow Model'!K16*1)-MAX(0,('Cash Flow Model'!K11*1*1+'Cash Flow Model'!K12*1*(1+F$4)+'Cash Flow Model'!K13*1+'Cash Flow Model'!K16*1)*Tax)-'Cash Flow Model'!K16*1+'Cash Flow Model'!K22*1+'Cash Flow Model'!K24*1*1+'Cash Flow Model'!K25*1)</f>
        <v>352815.604627443</v>
      </c>
      <c r="Q54" s="60" t="n">
        <f aca="false">IF('Cash Flow Model'!L$4&gt;N,0,('Cash Flow Model'!L11*1*1+'Cash Flow Model'!L12*1*(1+F$4)+'Cash Flow Model'!L13*1+'Cash Flow Model'!L16*1)-MAX(0,('Cash Flow Model'!L11*1*1+'Cash Flow Model'!L12*1*(1+F$4)+'Cash Flow Model'!L13*1+'Cash Flow Model'!L16*1)*Tax)-'Cash Flow Model'!L16*1+'Cash Flow Model'!L22*1+'Cash Flow Model'!L24*1*1+'Cash Flow Model'!L25*1)</f>
        <v>385923.851287324</v>
      </c>
      <c r="R54" s="60" t="n">
        <f aca="false">IF('Cash Flow Model'!M$4&gt;N,0,('Cash Flow Model'!M11*1*1+'Cash Flow Model'!M12*1*(1+F$4)+'Cash Flow Model'!M13*1+'Cash Flow Model'!M16*1)-MAX(0,('Cash Flow Model'!M11*1*1+'Cash Flow Model'!M12*1*(1+F$4)+'Cash Flow Model'!M13*1+'Cash Flow Model'!M16*1)*Tax)-'Cash Flow Model'!M16*1+'Cash Flow Model'!M22*1+'Cash Flow Model'!M24*1*1+'Cash Flow Model'!M25*1)</f>
        <v>757384.336885197</v>
      </c>
    </row>
    <row r="55" customFormat="false" ht="15" hidden="false" customHeight="false" outlineLevel="0" collapsed="false">
      <c r="A55" s="59" t="str">
        <f aca="false">$A8&amp;" "&amp;TEXT(B$4,"+0%;-0%;0%")</f>
        <v>Fixed operating costs -20%</v>
      </c>
      <c r="H55" s="60" t="n">
        <f aca="false">IF('Cash Flow Model'!C$4&gt;N,0,('Cash Flow Model'!C11*1*1+'Cash Flow Model'!C12*1*1+'Cash Flow Model'!C13*(1+B$4)+'Cash Flow Model'!C16*1)-MAX(0,('Cash Flow Model'!C11*1*1+'Cash Flow Model'!C12*1*1+'Cash Flow Model'!C13*(1+B$4)+'Cash Flow Model'!C16*1)*Tax)-'Cash Flow Model'!C16*1+'Cash Flow Model'!C22*1+'Cash Flow Model'!C24*1*1+'Cash Flow Model'!C25*1)</f>
        <v>-900000</v>
      </c>
      <c r="I55" s="60" t="n">
        <f aca="false">IF('Cash Flow Model'!D$4&gt;N,0,('Cash Flow Model'!D11*1*1+'Cash Flow Model'!D12*1*1+'Cash Flow Model'!D13*(1+B$4)+'Cash Flow Model'!D16*1)-MAX(0,('Cash Flow Model'!D11*1*1+'Cash Flow Model'!D12*1*1+'Cash Flow Model'!D13*(1+B$4)+'Cash Flow Model'!D16*1)*Tax)-'Cash Flow Model'!D16*1+'Cash Flow Model'!D22*1+'Cash Flow Model'!D24*1*1+'Cash Flow Model'!D25*1)</f>
        <v>-4750</v>
      </c>
      <c r="J55" s="60" t="n">
        <f aca="false">IF('Cash Flow Model'!E$4&gt;N,0,('Cash Flow Model'!E11*1*1+'Cash Flow Model'!E12*1*1+'Cash Flow Model'!E13*(1+B$4)+'Cash Flow Model'!E16*1)-MAX(0,('Cash Flow Model'!E11*1*1+'Cash Flow Model'!E12*1*1+'Cash Flow Model'!E13*(1+B$4)+'Cash Flow Model'!E16*1)*Tax)-'Cash Flow Model'!E16*1+'Cash Flow Model'!E22*1+'Cash Flow Model'!E24*1*1+'Cash Flow Model'!E25*1)</f>
        <v>228116.4</v>
      </c>
      <c r="K55" s="60" t="n">
        <f aca="false">IF('Cash Flow Model'!F$4&gt;N,0,('Cash Flow Model'!F11*1*1+'Cash Flow Model'!F12*1*1+'Cash Flow Model'!F13*(1+B$4)+'Cash Flow Model'!F16*1)-MAX(0,('Cash Flow Model'!F11*1*1+'Cash Flow Model'!F12*1*1+'Cash Flow Model'!F13*(1+B$4)+'Cash Flow Model'!F16*1)*Tax)-'Cash Flow Model'!F16*1+'Cash Flow Model'!F22*1+'Cash Flow Model'!F24*1*1+'Cash Flow Model'!F25*1)</f>
        <v>320357.2208</v>
      </c>
      <c r="L55" s="60" t="n">
        <f aca="false">IF('Cash Flow Model'!G$4&gt;N,0,('Cash Flow Model'!G11*1*1+'Cash Flow Model'!G12*1*1+'Cash Flow Model'!G13*(1+B$4)+'Cash Flow Model'!G16*1)-MAX(0,('Cash Flow Model'!G11*1*1+'Cash Flow Model'!G12*1*1+'Cash Flow Model'!G13*(1+B$4)+'Cash Flow Model'!G16*1)*Tax)-'Cash Flow Model'!G16*1+'Cash Flow Model'!G22*1+'Cash Flow Model'!G24*1*1+'Cash Flow Model'!G25*1)</f>
        <v>365422.05852096</v>
      </c>
      <c r="M55" s="60" t="n">
        <f aca="false">IF('Cash Flow Model'!H$4&gt;N,0,('Cash Flow Model'!H11*1*1+'Cash Flow Model'!H12*1*1+'Cash Flow Model'!H13*(1+B$4)+'Cash Flow Model'!H16*1)-MAX(0,('Cash Flow Model'!H11*1*1+'Cash Flow Model'!H12*1*1+'Cash Flow Model'!H13*(1+B$4)+'Cash Flow Model'!H16*1)*Tax)-'Cash Flow Model'!H16*1+'Cash Flow Model'!H22*1+'Cash Flow Model'!H24*1*1+'Cash Flow Model'!H25*1)</f>
        <v>396680.161947653</v>
      </c>
      <c r="N55" s="60" t="n">
        <f aca="false">IF('Cash Flow Model'!I$4&gt;N,0,('Cash Flow Model'!I11*1*1+'Cash Flow Model'!I12*1*1+'Cash Flow Model'!I13*(1+B$4)+'Cash Flow Model'!I16*1)-MAX(0,('Cash Flow Model'!I11*1*1+'Cash Flow Model'!I12*1*1+'Cash Flow Model'!I13*(1+B$4)+'Cash Flow Model'!I16*1)*Tax)-'Cash Flow Model'!I16*1+'Cash Flow Model'!I22*1+'Cash Flow Model'!I24*1*1+'Cash Flow Model'!I25*1)</f>
        <v>430366.433924125</v>
      </c>
      <c r="O55" s="60" t="n">
        <f aca="false">IF('Cash Flow Model'!J$4&gt;N,0,('Cash Flow Model'!J11*1*1+'Cash Flow Model'!J12*1*1+'Cash Flow Model'!J13*(1+B$4)+'Cash Flow Model'!J16*1)-MAX(0,('Cash Flow Model'!J11*1*1+'Cash Flow Model'!J12*1*1+'Cash Flow Model'!J13*(1+B$4)+'Cash Flow Model'!J16*1)*Tax)-'Cash Flow Model'!J16*1+'Cash Flow Model'!J22*1+'Cash Flow Model'!J24*1*1+'Cash Flow Model'!J25*1)</f>
        <v>466659.837798697</v>
      </c>
      <c r="P55" s="60" t="n">
        <f aca="false">IF('Cash Flow Model'!K$4&gt;N,0,('Cash Flow Model'!K11*1*1+'Cash Flow Model'!K12*1*1+'Cash Flow Model'!K13*(1+B$4)+'Cash Flow Model'!K16*1)-MAX(0,('Cash Flow Model'!K11*1*1+'Cash Flow Model'!K12*1*1+'Cash Flow Model'!K13*(1+B$4)+'Cash Flow Model'!K16*1)*Tax)-'Cash Flow Model'!K16*1+'Cash Flow Model'!K22*1+'Cash Flow Model'!K24*1*1+'Cash Flow Model'!K25*1)</f>
        <v>505752.261442514</v>
      </c>
      <c r="Q55" s="60" t="n">
        <f aca="false">IF('Cash Flow Model'!L$4&gt;N,0,('Cash Flow Model'!L11*1*1+'Cash Flow Model'!L12*1*1+'Cash Flow Model'!L13*(1+B$4)+'Cash Flow Model'!L16*1)-MAX(0,('Cash Flow Model'!L11*1*1+'Cash Flow Model'!L12*1*1+'Cash Flow Model'!L13*(1+B$4)+'Cash Flow Model'!L16*1)*Tax)-'Cash Flow Model'!L16*1+'Cash Flow Model'!L22*1+'Cash Flow Model'!L24*1*1+'Cash Flow Model'!L25*1)</f>
        <v>547849.442945546</v>
      </c>
      <c r="R55" s="60" t="n">
        <f aca="false">IF('Cash Flow Model'!M$4&gt;N,0,('Cash Flow Model'!M11*1*1+'Cash Flow Model'!M12*1*1+'Cash Flow Model'!M13*(1+B$4)+'Cash Flow Model'!M16*1)-MAX(0,('Cash Flow Model'!M11*1*1+'Cash Flow Model'!M12*1*1+'Cash Flow Model'!M13*(1+B$4)+'Cash Flow Model'!M16*1)*Tax)-'Cash Flow Model'!M16*1+'Cash Flow Model'!M22*1+'Cash Flow Model'!M24*1*1+'Cash Flow Model'!M25*1)</f>
        <v>928881.87089374</v>
      </c>
    </row>
    <row r="56" customFormat="false" ht="15" hidden="false" customHeight="false" outlineLevel="0" collapsed="false">
      <c r="A56" s="59" t="str">
        <f aca="false">$A8&amp;" "&amp;TEXT(C$4,"+0%;-0%;0%")</f>
        <v>Fixed operating costs -10%</v>
      </c>
      <c r="H56" s="60" t="n">
        <f aca="false">IF('Cash Flow Model'!C$4&gt;N,0,('Cash Flow Model'!C11*1*1+'Cash Flow Model'!C12*1*1+'Cash Flow Model'!C13*(1+C$4)+'Cash Flow Model'!C16*1)-MAX(0,('Cash Flow Model'!C11*1*1+'Cash Flow Model'!C12*1*1+'Cash Flow Model'!C13*(1+C$4)+'Cash Flow Model'!C16*1)*Tax)-'Cash Flow Model'!C16*1+'Cash Flow Model'!C22*1+'Cash Flow Model'!C24*1*1+'Cash Flow Model'!C25*1)</f>
        <v>-900000</v>
      </c>
      <c r="I56" s="60" t="n">
        <f aca="false">IF('Cash Flow Model'!D$4&gt;N,0,('Cash Flow Model'!D11*1*1+'Cash Flow Model'!D12*1*1+'Cash Flow Model'!D13*(1+C$4)+'Cash Flow Model'!D16*1)-MAX(0,('Cash Flow Model'!D11*1*1+'Cash Flow Model'!D12*1*1+'Cash Flow Model'!D13*(1+C$4)+'Cash Flow Model'!D16*1)*Tax)-'Cash Flow Model'!D16*1+'Cash Flow Model'!D22*1+'Cash Flow Model'!D24*1*1+'Cash Flow Model'!D25*1)</f>
        <v>-23500</v>
      </c>
      <c r="J56" s="60" t="n">
        <f aca="false">IF('Cash Flow Model'!E$4&gt;N,0,('Cash Flow Model'!E11*1*1+'Cash Flow Model'!E12*1*1+'Cash Flow Model'!E13*(1+C$4)+'Cash Flow Model'!E16*1)-MAX(0,('Cash Flow Model'!E11*1*1+'Cash Flow Model'!E12*1*1+'Cash Flow Model'!E13*(1+C$4)+'Cash Flow Model'!E16*1)*Tax)-'Cash Flow Model'!E16*1+'Cash Flow Model'!E22*1+'Cash Flow Model'!E24*1*1+'Cash Flow Model'!E25*1)</f>
        <v>208803.9</v>
      </c>
      <c r="K56" s="60" t="n">
        <f aca="false">IF('Cash Flow Model'!F$4&gt;N,0,('Cash Flow Model'!F11*1*1+'Cash Flow Model'!F12*1*1+'Cash Flow Model'!F13*(1+C$4)+'Cash Flow Model'!F16*1)-MAX(0,('Cash Flow Model'!F11*1*1+'Cash Flow Model'!F12*1*1+'Cash Flow Model'!F13*(1+C$4)+'Cash Flow Model'!F16*1)*Tax)-'Cash Flow Model'!F16*1+'Cash Flow Model'!F22*1+'Cash Flow Model'!F24*1*1+'Cash Flow Model'!F25*1)</f>
        <v>300465.3458</v>
      </c>
      <c r="L56" s="60" t="n">
        <f aca="false">IF('Cash Flow Model'!G$4&gt;N,0,('Cash Flow Model'!G11*1*1+'Cash Flow Model'!G12*1*1+'Cash Flow Model'!G13*(1+C$4)+'Cash Flow Model'!G16*1)-MAX(0,('Cash Flow Model'!G11*1*1+'Cash Flow Model'!G12*1*1+'Cash Flow Model'!G13*(1+C$4)+'Cash Flow Model'!G16*1)*Tax)-'Cash Flow Model'!G16*1+'Cash Flow Model'!G22*1+'Cash Flow Model'!G24*1*1+'Cash Flow Model'!G25*1)</f>
        <v>344933.42727096</v>
      </c>
      <c r="M56" s="60" t="n">
        <f aca="false">IF('Cash Flow Model'!H$4&gt;N,0,('Cash Flow Model'!H11*1*1+'Cash Flow Model'!H12*1*1+'Cash Flow Model'!H13*(1+C$4)+'Cash Flow Model'!H16*1)-MAX(0,('Cash Flow Model'!H11*1*1+'Cash Flow Model'!H12*1*1+'Cash Flow Model'!H13*(1+C$4)+'Cash Flow Model'!H16*1)*Tax)-'Cash Flow Model'!H16*1+'Cash Flow Model'!H22*1+'Cash Flow Model'!H24*1*1+'Cash Flow Model'!H25*1)</f>
        <v>375576.871760153</v>
      </c>
      <c r="N56" s="60" t="n">
        <f aca="false">IF('Cash Flow Model'!I$4&gt;N,0,('Cash Flow Model'!I11*1*1+'Cash Flow Model'!I12*1*1+'Cash Flow Model'!I13*(1+C$4)+'Cash Flow Model'!I16*1)-MAX(0,('Cash Flow Model'!I11*1*1+'Cash Flow Model'!I12*1*1+'Cash Flow Model'!I13*(1+C$4)+'Cash Flow Model'!I16*1)*Tax)-'Cash Flow Model'!I16*1+'Cash Flow Model'!I22*1+'Cash Flow Model'!I24*1*1+'Cash Flow Model'!I25*1)</f>
        <v>408630.045031</v>
      </c>
      <c r="O56" s="60" t="n">
        <f aca="false">IF('Cash Flow Model'!J$4&gt;N,0,('Cash Flow Model'!J11*1*1+'Cash Flow Model'!J12*1*1+'Cash Flow Model'!J13*(1+C$4)+'Cash Flow Model'!J16*1)-MAX(0,('Cash Flow Model'!J11*1*1+'Cash Flow Model'!J12*1*1+'Cash Flow Model'!J13*(1+C$4)+'Cash Flow Model'!J16*1)*Tax)-'Cash Flow Model'!J16*1+'Cash Flow Model'!J22*1+'Cash Flow Model'!J24*1*1+'Cash Flow Model'!J25*1)</f>
        <v>444271.357238779</v>
      </c>
      <c r="P56" s="60" t="n">
        <f aca="false">IF('Cash Flow Model'!K$4&gt;N,0,('Cash Flow Model'!K11*1*1+'Cash Flow Model'!K12*1*1+'Cash Flow Model'!K13*(1+C$4)+'Cash Flow Model'!K16*1)-MAX(0,('Cash Flow Model'!K11*1*1+'Cash Flow Model'!K12*1*1+'Cash Flow Model'!K13*(1+C$4)+'Cash Flow Model'!K16*1)*Tax)-'Cash Flow Model'!K16*1+'Cash Flow Model'!K22*1+'Cash Flow Model'!K24*1*1+'Cash Flow Model'!K25*1)</f>
        <v>482692.126465797</v>
      </c>
      <c r="Q56" s="60" t="n">
        <f aca="false">IF('Cash Flow Model'!L$4&gt;N,0,('Cash Flow Model'!L11*1*1+'Cash Flow Model'!L12*1*1+'Cash Flow Model'!L13*(1+C$4)+'Cash Flow Model'!L16*1)-MAX(0,('Cash Flow Model'!L11*1*1+'Cash Flow Model'!L12*1*1+'Cash Flow Model'!L13*(1+C$4)+'Cash Flow Model'!L16*1)*Tax)-'Cash Flow Model'!L16*1+'Cash Flow Model'!L22*1+'Cash Flow Model'!L24*1*1+'Cash Flow Model'!L25*1)</f>
        <v>524097.503919528</v>
      </c>
      <c r="R56" s="60" t="n">
        <f aca="false">IF('Cash Flow Model'!M$4&gt;N,0,('Cash Flow Model'!M11*1*1+'Cash Flow Model'!M12*1*1+'Cash Flow Model'!M13*(1+C$4)+'Cash Flow Model'!M16*1)-MAX(0,('Cash Flow Model'!M11*1*1+'Cash Flow Model'!M12*1*1+'Cash Flow Model'!M13*(1+C$4)+'Cash Flow Model'!M16*1)*Tax)-'Cash Flow Model'!M16*1+'Cash Flow Model'!M22*1+'Cash Flow Model'!M24*1*1+'Cash Flow Model'!M25*1)</f>
        <v>904417.373696942</v>
      </c>
    </row>
    <row r="57" customFormat="false" ht="15" hidden="false" customHeight="false" outlineLevel="0" collapsed="false">
      <c r="A57" s="59" t="str">
        <f aca="false">$A8&amp;" "&amp;TEXT(D$4,"+0%;-0%;0%")</f>
        <v>Fixed operating costs 0%</v>
      </c>
      <c r="H57" s="60" t="n">
        <f aca="false">IF('Cash Flow Model'!C$4&gt;N,0,('Cash Flow Model'!C11*1*1+'Cash Flow Model'!C12*1*1+'Cash Flow Model'!C13*(1+D$4)+'Cash Flow Model'!C16*1)-MAX(0,('Cash Flow Model'!C11*1*1+'Cash Flow Model'!C12*1*1+'Cash Flow Model'!C13*(1+D$4)+'Cash Flow Model'!C16*1)*Tax)-'Cash Flow Model'!C16*1+'Cash Flow Model'!C22*1+'Cash Flow Model'!C24*1*1+'Cash Flow Model'!C25*1)</f>
        <v>-900000</v>
      </c>
      <c r="I57" s="60" t="n">
        <f aca="false">IF('Cash Flow Model'!D$4&gt;N,0,('Cash Flow Model'!D11*1*1+'Cash Flow Model'!D12*1*1+'Cash Flow Model'!D13*(1+D$4)+'Cash Flow Model'!D16*1)-MAX(0,('Cash Flow Model'!D11*1*1+'Cash Flow Model'!D12*1*1+'Cash Flow Model'!D13*(1+D$4)+'Cash Flow Model'!D16*1)*Tax)-'Cash Flow Model'!D16*1+'Cash Flow Model'!D22*1+'Cash Flow Model'!D24*1*1+'Cash Flow Model'!D25*1)</f>
        <v>-42250</v>
      </c>
      <c r="J57" s="60" t="n">
        <f aca="false">IF('Cash Flow Model'!E$4&gt;N,0,('Cash Flow Model'!E11*1*1+'Cash Flow Model'!E12*1*1+'Cash Flow Model'!E13*(1+D$4)+'Cash Flow Model'!E16*1)-MAX(0,('Cash Flow Model'!E11*1*1+'Cash Flow Model'!E12*1*1+'Cash Flow Model'!E13*(1+D$4)+'Cash Flow Model'!E16*1)*Tax)-'Cash Flow Model'!E16*1+'Cash Flow Model'!E22*1+'Cash Flow Model'!E24*1*1+'Cash Flow Model'!E25*1)</f>
        <v>189491.4</v>
      </c>
      <c r="K57" s="60" t="n">
        <f aca="false">IF('Cash Flow Model'!F$4&gt;N,0,('Cash Flow Model'!F11*1*1+'Cash Flow Model'!F12*1*1+'Cash Flow Model'!F13*(1+D$4)+'Cash Flow Model'!F16*1)-MAX(0,('Cash Flow Model'!F11*1*1+'Cash Flow Model'!F12*1*1+'Cash Flow Model'!F13*(1+D$4)+'Cash Flow Model'!F16*1)*Tax)-'Cash Flow Model'!F16*1+'Cash Flow Model'!F22*1+'Cash Flow Model'!F24*1*1+'Cash Flow Model'!F25*1)</f>
        <v>280573.4708</v>
      </c>
      <c r="L57" s="60" t="n">
        <f aca="false">IF('Cash Flow Model'!G$4&gt;N,0,('Cash Flow Model'!G11*1*1+'Cash Flow Model'!G12*1*1+'Cash Flow Model'!G13*(1+D$4)+'Cash Flow Model'!G16*1)-MAX(0,('Cash Flow Model'!G11*1*1+'Cash Flow Model'!G12*1*1+'Cash Flow Model'!G13*(1+D$4)+'Cash Flow Model'!G16*1)*Tax)-'Cash Flow Model'!G16*1+'Cash Flow Model'!G22*1+'Cash Flow Model'!G24*1*1+'Cash Flow Model'!G25*1)</f>
        <v>324444.79602096</v>
      </c>
      <c r="M57" s="60" t="n">
        <f aca="false">IF('Cash Flow Model'!H$4&gt;N,0,('Cash Flow Model'!H11*1*1+'Cash Flow Model'!H12*1*1+'Cash Flow Model'!H13*(1+D$4)+'Cash Flow Model'!H16*1)-MAX(0,('Cash Flow Model'!H11*1*1+'Cash Flow Model'!H12*1*1+'Cash Flow Model'!H13*(1+D$4)+'Cash Flow Model'!H16*1)*Tax)-'Cash Flow Model'!H16*1+'Cash Flow Model'!H22*1+'Cash Flow Model'!H24*1*1+'Cash Flow Model'!H25*1)</f>
        <v>354473.581572653</v>
      </c>
      <c r="N57" s="60" t="n">
        <f aca="false">IF('Cash Flow Model'!I$4&gt;N,0,('Cash Flow Model'!I11*1*1+'Cash Flow Model'!I12*1*1+'Cash Flow Model'!I13*(1+D$4)+'Cash Flow Model'!I16*1)-MAX(0,('Cash Flow Model'!I11*1*1+'Cash Flow Model'!I12*1*1+'Cash Flow Model'!I13*(1+D$4)+'Cash Flow Model'!I16*1)*Tax)-'Cash Flow Model'!I16*1+'Cash Flow Model'!I22*1+'Cash Flow Model'!I24*1*1+'Cash Flow Model'!I25*1)</f>
        <v>386893.656137875</v>
      </c>
      <c r="O57" s="60" t="n">
        <f aca="false">IF('Cash Flow Model'!J$4&gt;N,0,('Cash Flow Model'!J11*1*1+'Cash Flow Model'!J12*1*1+'Cash Flow Model'!J13*(1+D$4)+'Cash Flow Model'!J16*1)-MAX(0,('Cash Flow Model'!J11*1*1+'Cash Flow Model'!J12*1*1+'Cash Flow Model'!J13*(1+D$4)+'Cash Flow Model'!J16*1)*Tax)-'Cash Flow Model'!J16*1+'Cash Flow Model'!J22*1+'Cash Flow Model'!J24*1*1+'Cash Flow Model'!J25*1)</f>
        <v>421882.87667886</v>
      </c>
      <c r="P57" s="60" t="n">
        <f aca="false">IF('Cash Flow Model'!K$4&gt;N,0,('Cash Flow Model'!K11*1*1+'Cash Flow Model'!K12*1*1+'Cash Flow Model'!K13*(1+D$4)+'Cash Flow Model'!K16*1)-MAX(0,('Cash Flow Model'!K11*1*1+'Cash Flow Model'!K12*1*1+'Cash Flow Model'!K13*(1+D$4)+'Cash Flow Model'!K16*1)*Tax)-'Cash Flow Model'!K16*1+'Cash Flow Model'!K22*1+'Cash Flow Model'!K24*1*1+'Cash Flow Model'!K25*1)</f>
        <v>459631.991489081</v>
      </c>
      <c r="Q57" s="60" t="n">
        <f aca="false">IF('Cash Flow Model'!L$4&gt;N,0,('Cash Flow Model'!L11*1*1+'Cash Flow Model'!L12*1*1+'Cash Flow Model'!L13*(1+D$4)+'Cash Flow Model'!L16*1)-MAX(0,('Cash Flow Model'!L11*1*1+'Cash Flow Model'!L12*1*1+'Cash Flow Model'!L13*(1+D$4)+'Cash Flow Model'!L16*1)*Tax)-'Cash Flow Model'!L16*1+'Cash Flow Model'!L22*1+'Cash Flow Model'!L24*1*1+'Cash Flow Model'!L25*1)</f>
        <v>500345.564893511</v>
      </c>
      <c r="R57" s="60" t="n">
        <f aca="false">IF('Cash Flow Model'!M$4&gt;N,0,('Cash Flow Model'!M11*1*1+'Cash Flow Model'!M12*1*1+'Cash Flow Model'!M13*(1+D$4)+'Cash Flow Model'!M16*1)-MAX(0,('Cash Flow Model'!M11*1*1+'Cash Flow Model'!M12*1*1+'Cash Flow Model'!M13*(1+D$4)+'Cash Flow Model'!M16*1)*Tax)-'Cash Flow Model'!M16*1+'Cash Flow Model'!M22*1+'Cash Flow Model'!M24*1*1+'Cash Flow Model'!M25*1)</f>
        <v>879952.876500144</v>
      </c>
    </row>
    <row r="58" customFormat="false" ht="15" hidden="false" customHeight="false" outlineLevel="0" collapsed="false">
      <c r="A58" s="59" t="str">
        <f aca="false">$A8&amp;" "&amp;TEXT(E$4,"+0%;-0%;0%")</f>
        <v>Fixed operating costs +10%</v>
      </c>
      <c r="H58" s="60" t="n">
        <f aca="false">IF('Cash Flow Model'!C$4&gt;N,0,('Cash Flow Model'!C11*1*1+'Cash Flow Model'!C12*1*1+'Cash Flow Model'!C13*(1+E$4)+'Cash Flow Model'!C16*1)-MAX(0,('Cash Flow Model'!C11*1*1+'Cash Flow Model'!C12*1*1+'Cash Flow Model'!C13*(1+E$4)+'Cash Flow Model'!C16*1)*Tax)-'Cash Flow Model'!C16*1+'Cash Flow Model'!C22*1+'Cash Flow Model'!C24*1*1+'Cash Flow Model'!C25*1)</f>
        <v>-900000</v>
      </c>
      <c r="I58" s="60" t="n">
        <f aca="false">IF('Cash Flow Model'!D$4&gt;N,0,('Cash Flow Model'!D11*1*1+'Cash Flow Model'!D12*1*1+'Cash Flow Model'!D13*(1+E$4)+'Cash Flow Model'!D16*1)-MAX(0,('Cash Flow Model'!D11*1*1+'Cash Flow Model'!D12*1*1+'Cash Flow Model'!D13*(1+E$4)+'Cash Flow Model'!D16*1)*Tax)-'Cash Flow Model'!D16*1+'Cash Flow Model'!D22*1+'Cash Flow Model'!D24*1*1+'Cash Flow Model'!D25*1)</f>
        <v>-61000</v>
      </c>
      <c r="J58" s="60" t="n">
        <f aca="false">IF('Cash Flow Model'!E$4&gt;N,0,('Cash Flow Model'!E11*1*1+'Cash Flow Model'!E12*1*1+'Cash Flow Model'!E13*(1+E$4)+'Cash Flow Model'!E16*1)-MAX(0,('Cash Flow Model'!E11*1*1+'Cash Flow Model'!E12*1*1+'Cash Flow Model'!E13*(1+E$4)+'Cash Flow Model'!E16*1)*Tax)-'Cash Flow Model'!E16*1+'Cash Flow Model'!E22*1+'Cash Flow Model'!E24*1*1+'Cash Flow Model'!E25*1)</f>
        <v>170178.9</v>
      </c>
      <c r="K58" s="60" t="n">
        <f aca="false">IF('Cash Flow Model'!F$4&gt;N,0,('Cash Flow Model'!F11*1*1+'Cash Flow Model'!F12*1*1+'Cash Flow Model'!F13*(1+E$4)+'Cash Flow Model'!F16*1)-MAX(0,('Cash Flow Model'!F11*1*1+'Cash Flow Model'!F12*1*1+'Cash Flow Model'!F13*(1+E$4)+'Cash Flow Model'!F16*1)*Tax)-'Cash Flow Model'!F16*1+'Cash Flow Model'!F22*1+'Cash Flow Model'!F24*1*1+'Cash Flow Model'!F25*1)</f>
        <v>260681.5958</v>
      </c>
      <c r="L58" s="60" t="n">
        <f aca="false">IF('Cash Flow Model'!G$4&gt;N,0,('Cash Flow Model'!G11*1*1+'Cash Flow Model'!G12*1*1+'Cash Flow Model'!G13*(1+E$4)+'Cash Flow Model'!G16*1)-MAX(0,('Cash Flow Model'!G11*1*1+'Cash Flow Model'!G12*1*1+'Cash Flow Model'!G13*(1+E$4)+'Cash Flow Model'!G16*1)*Tax)-'Cash Flow Model'!G16*1+'Cash Flow Model'!G22*1+'Cash Flow Model'!G24*1*1+'Cash Flow Model'!G25*1)</f>
        <v>303956.16477096</v>
      </c>
      <c r="M58" s="60" t="n">
        <f aca="false">IF('Cash Flow Model'!H$4&gt;N,0,('Cash Flow Model'!H11*1*1+'Cash Flow Model'!H12*1*1+'Cash Flow Model'!H13*(1+E$4)+'Cash Flow Model'!H16*1)-MAX(0,('Cash Flow Model'!H11*1*1+'Cash Flow Model'!H12*1*1+'Cash Flow Model'!H13*(1+E$4)+'Cash Flow Model'!H16*1)*Tax)-'Cash Flow Model'!H16*1+'Cash Flow Model'!H22*1+'Cash Flow Model'!H24*1*1+'Cash Flow Model'!H25*1)</f>
        <v>333370.291385153</v>
      </c>
      <c r="N58" s="60" t="n">
        <f aca="false">IF('Cash Flow Model'!I$4&gt;N,0,('Cash Flow Model'!I11*1*1+'Cash Flow Model'!I12*1*1+'Cash Flow Model'!I13*(1+E$4)+'Cash Flow Model'!I16*1)-MAX(0,('Cash Flow Model'!I11*1*1+'Cash Flow Model'!I12*1*1+'Cash Flow Model'!I13*(1+E$4)+'Cash Flow Model'!I16*1)*Tax)-'Cash Flow Model'!I16*1+'Cash Flow Model'!I22*1+'Cash Flow Model'!I24*1*1+'Cash Flow Model'!I25*1)</f>
        <v>365157.26724475</v>
      </c>
      <c r="O58" s="60" t="n">
        <f aca="false">IF('Cash Flow Model'!J$4&gt;N,0,('Cash Flow Model'!J11*1*1+'Cash Flow Model'!J12*1*1+'Cash Flow Model'!J13*(1+E$4)+'Cash Flow Model'!J16*1)-MAX(0,('Cash Flow Model'!J11*1*1+'Cash Flow Model'!J12*1*1+'Cash Flow Model'!J13*(1+E$4)+'Cash Flow Model'!J16*1)*Tax)-'Cash Flow Model'!J16*1+'Cash Flow Model'!J22*1+'Cash Flow Model'!J24*1*1+'Cash Flow Model'!J25*1)</f>
        <v>399494.396118941</v>
      </c>
      <c r="P58" s="60" t="n">
        <f aca="false">IF('Cash Flow Model'!K$4&gt;N,0,('Cash Flow Model'!K11*1*1+'Cash Flow Model'!K12*1*1+'Cash Flow Model'!K13*(1+E$4)+'Cash Flow Model'!K16*1)-MAX(0,('Cash Flow Model'!K11*1*1+'Cash Flow Model'!K12*1*1+'Cash Flow Model'!K13*(1+E$4)+'Cash Flow Model'!K16*1)*Tax)-'Cash Flow Model'!K16*1+'Cash Flow Model'!K22*1+'Cash Flow Model'!K24*1*1+'Cash Flow Model'!K25*1)</f>
        <v>436571.856512365</v>
      </c>
      <c r="Q58" s="60" t="n">
        <f aca="false">IF('Cash Flow Model'!L$4&gt;N,0,('Cash Flow Model'!L11*1*1+'Cash Flow Model'!L12*1*1+'Cash Flow Model'!L13*(1+E$4)+'Cash Flow Model'!L16*1)-MAX(0,('Cash Flow Model'!L11*1*1+'Cash Flow Model'!L12*1*1+'Cash Flow Model'!L13*(1+E$4)+'Cash Flow Model'!L16*1)*Tax)-'Cash Flow Model'!L16*1+'Cash Flow Model'!L22*1+'Cash Flow Model'!L24*1*1+'Cash Flow Model'!L25*1)</f>
        <v>476593.625867493</v>
      </c>
      <c r="R58" s="60" t="n">
        <f aca="false">IF('Cash Flow Model'!M$4&gt;N,0,('Cash Flow Model'!M11*1*1+'Cash Flow Model'!M12*1*1+'Cash Flow Model'!M13*(1+E$4)+'Cash Flow Model'!M16*1)-MAX(0,('Cash Flow Model'!M11*1*1+'Cash Flow Model'!M12*1*1+'Cash Flow Model'!M13*(1+E$4)+'Cash Flow Model'!M16*1)*Tax)-'Cash Flow Model'!M16*1+'Cash Flow Model'!M22*1+'Cash Flow Model'!M24*1*1+'Cash Flow Model'!M25*1)</f>
        <v>855488.379303345</v>
      </c>
    </row>
    <row r="59" customFormat="false" ht="15" hidden="false" customHeight="false" outlineLevel="0" collapsed="false">
      <c r="A59" s="59" t="str">
        <f aca="false">$A8&amp;" "&amp;TEXT(F$4,"+0%;-0%;0%")</f>
        <v>Fixed operating costs +20%</v>
      </c>
      <c r="H59" s="60" t="n">
        <f aca="false">IF('Cash Flow Model'!C$4&gt;N,0,('Cash Flow Model'!C11*1*1+'Cash Flow Model'!C12*1*1+'Cash Flow Model'!C13*(1+F$4)+'Cash Flow Model'!C16*1)-MAX(0,('Cash Flow Model'!C11*1*1+'Cash Flow Model'!C12*1*1+'Cash Flow Model'!C13*(1+F$4)+'Cash Flow Model'!C16*1)*Tax)-'Cash Flow Model'!C16*1+'Cash Flow Model'!C22*1+'Cash Flow Model'!C24*1*1+'Cash Flow Model'!C25*1)</f>
        <v>-900000</v>
      </c>
      <c r="I59" s="60" t="n">
        <f aca="false">IF('Cash Flow Model'!D$4&gt;N,0,('Cash Flow Model'!D11*1*1+'Cash Flow Model'!D12*1*1+'Cash Flow Model'!D13*(1+F$4)+'Cash Flow Model'!D16*1)-MAX(0,('Cash Flow Model'!D11*1*1+'Cash Flow Model'!D12*1*1+'Cash Flow Model'!D13*(1+F$4)+'Cash Flow Model'!D16*1)*Tax)-'Cash Flow Model'!D16*1+'Cash Flow Model'!D22*1+'Cash Flow Model'!D24*1*1+'Cash Flow Model'!D25*1)</f>
        <v>-79750</v>
      </c>
      <c r="J59" s="60" t="n">
        <f aca="false">IF('Cash Flow Model'!E$4&gt;N,0,('Cash Flow Model'!E11*1*1+'Cash Flow Model'!E12*1*1+'Cash Flow Model'!E13*(1+F$4)+'Cash Flow Model'!E16*1)-MAX(0,('Cash Flow Model'!E11*1*1+'Cash Flow Model'!E12*1*1+'Cash Flow Model'!E13*(1+F$4)+'Cash Flow Model'!E16*1)*Tax)-'Cash Flow Model'!E16*1+'Cash Flow Model'!E22*1+'Cash Flow Model'!E24*1*1+'Cash Flow Model'!E25*1)</f>
        <v>150866.4</v>
      </c>
      <c r="K59" s="60" t="n">
        <f aca="false">IF('Cash Flow Model'!F$4&gt;N,0,('Cash Flow Model'!F11*1*1+'Cash Flow Model'!F12*1*1+'Cash Flow Model'!F13*(1+F$4)+'Cash Flow Model'!F16*1)-MAX(0,('Cash Flow Model'!F11*1*1+'Cash Flow Model'!F12*1*1+'Cash Flow Model'!F13*(1+F$4)+'Cash Flow Model'!F16*1)*Tax)-'Cash Flow Model'!F16*1+'Cash Flow Model'!F22*1+'Cash Flow Model'!F24*1*1+'Cash Flow Model'!F25*1)</f>
        <v>240789.7208</v>
      </c>
      <c r="L59" s="60" t="n">
        <f aca="false">IF('Cash Flow Model'!G$4&gt;N,0,('Cash Flow Model'!G11*1*1+'Cash Flow Model'!G12*1*1+'Cash Flow Model'!G13*(1+F$4)+'Cash Flow Model'!G16*1)-MAX(0,('Cash Flow Model'!G11*1*1+'Cash Flow Model'!G12*1*1+'Cash Flow Model'!G13*(1+F$4)+'Cash Flow Model'!G16*1)*Tax)-'Cash Flow Model'!G16*1+'Cash Flow Model'!G22*1+'Cash Flow Model'!G24*1*1+'Cash Flow Model'!G25*1)</f>
        <v>283467.53352096</v>
      </c>
      <c r="M59" s="60" t="n">
        <f aca="false">IF('Cash Flow Model'!H$4&gt;N,0,('Cash Flow Model'!H11*1*1+'Cash Flow Model'!H12*1*1+'Cash Flow Model'!H13*(1+F$4)+'Cash Flow Model'!H16*1)-MAX(0,('Cash Flow Model'!H11*1*1+'Cash Flow Model'!H12*1*1+'Cash Flow Model'!H13*(1+F$4)+'Cash Flow Model'!H16*1)*Tax)-'Cash Flow Model'!H16*1+'Cash Flow Model'!H22*1+'Cash Flow Model'!H24*1*1+'Cash Flow Model'!H25*1)</f>
        <v>312267.001197653</v>
      </c>
      <c r="N59" s="60" t="n">
        <f aca="false">IF('Cash Flow Model'!I$4&gt;N,0,('Cash Flow Model'!I11*1*1+'Cash Flow Model'!I12*1*1+'Cash Flow Model'!I13*(1+F$4)+'Cash Flow Model'!I16*1)-MAX(0,('Cash Flow Model'!I11*1*1+'Cash Flow Model'!I12*1*1+'Cash Flow Model'!I13*(1+F$4)+'Cash Flow Model'!I16*1)*Tax)-'Cash Flow Model'!I16*1+'Cash Flow Model'!I22*1+'Cash Flow Model'!I24*1*1+'Cash Flow Model'!I25*1)</f>
        <v>343420.878351625</v>
      </c>
      <c r="O59" s="60" t="n">
        <f aca="false">IF('Cash Flow Model'!J$4&gt;N,0,('Cash Flow Model'!J11*1*1+'Cash Flow Model'!J12*1*1+'Cash Flow Model'!J13*(1+F$4)+'Cash Flow Model'!J16*1)-MAX(0,('Cash Flow Model'!J11*1*1+'Cash Flow Model'!J12*1*1+'Cash Flow Model'!J13*(1+F$4)+'Cash Flow Model'!J16*1)*Tax)-'Cash Flow Model'!J16*1+'Cash Flow Model'!J22*1+'Cash Flow Model'!J24*1*1+'Cash Flow Model'!J25*1)</f>
        <v>377105.915559022</v>
      </c>
      <c r="P59" s="60" t="n">
        <f aca="false">IF('Cash Flow Model'!K$4&gt;N,0,('Cash Flow Model'!K11*1*1+'Cash Flow Model'!K12*1*1+'Cash Flow Model'!K13*(1+F$4)+'Cash Flow Model'!K16*1)-MAX(0,('Cash Flow Model'!K11*1*1+'Cash Flow Model'!K12*1*1+'Cash Flow Model'!K13*(1+F$4)+'Cash Flow Model'!K16*1)*Tax)-'Cash Flow Model'!K16*1+'Cash Flow Model'!K22*1+'Cash Flow Model'!K24*1*1+'Cash Flow Model'!K25*1)</f>
        <v>413511.721535648</v>
      </c>
      <c r="Q59" s="60" t="n">
        <f aca="false">IF('Cash Flow Model'!L$4&gt;N,0,('Cash Flow Model'!L11*1*1+'Cash Flow Model'!L12*1*1+'Cash Flow Model'!L13*(1+F$4)+'Cash Flow Model'!L16*1)-MAX(0,('Cash Flow Model'!L11*1*1+'Cash Flow Model'!L12*1*1+'Cash Flow Model'!L13*(1+F$4)+'Cash Flow Model'!L16*1)*Tax)-'Cash Flow Model'!L16*1+'Cash Flow Model'!L22*1+'Cash Flow Model'!L24*1*1+'Cash Flow Model'!L25*1)</f>
        <v>452841.686841475</v>
      </c>
      <c r="R59" s="60" t="n">
        <f aca="false">IF('Cash Flow Model'!M$4&gt;N,0,('Cash Flow Model'!M11*1*1+'Cash Flow Model'!M12*1*1+'Cash Flow Model'!M13*(1+F$4)+'Cash Flow Model'!M16*1)-MAX(0,('Cash Flow Model'!M11*1*1+'Cash Flow Model'!M12*1*1+'Cash Flow Model'!M13*(1+F$4)+'Cash Flow Model'!M16*1)*Tax)-'Cash Flow Model'!M16*1+'Cash Flow Model'!M22*1+'Cash Flow Model'!M24*1*1+'Cash Flow Model'!M25*1)</f>
        <v>831023.882106547</v>
      </c>
    </row>
    <row r="60" customFormat="false" ht="15" hidden="false" customHeight="false" outlineLevel="0" collapsed="false">
      <c r="A60" s="59" t="str">
        <f aca="false">$A9&amp;" "&amp;TEXT(B$4,"+0%;-0%;0%")</f>
        <v>Capital expenditure -20%</v>
      </c>
      <c r="H60" s="60" t="n">
        <f aca="false">IF('Cash Flow Model'!C$4&gt;N,0,('Cash Flow Model'!C11*1*1+'Cash Flow Model'!C12*1*1+'Cash Flow Model'!C13*1+'Cash Flow Model'!C16*(1+B$4))-MAX(0,('Cash Flow Model'!C11*1*1+'Cash Flow Model'!C12*1*1+'Cash Flow Model'!C13*1+'Cash Flow Model'!C16*(1+B$4))*Tax)-'Cash Flow Model'!C16*(1+B$4)+'Cash Flow Model'!C22*(1+B$4)+'Cash Flow Model'!C24*1*1+'Cash Flow Model'!C25*(1+B$4))</f>
        <v>-720000</v>
      </c>
      <c r="I60" s="60" t="n">
        <f aca="false">IF('Cash Flow Model'!D$4&gt;N,0,('Cash Flow Model'!D11*1*1+'Cash Flow Model'!D12*1*1+'Cash Flow Model'!D13*1+'Cash Flow Model'!D16*(1+B$4))-MAX(0,('Cash Flow Model'!D11*1*1+'Cash Flow Model'!D12*1*1+'Cash Flow Model'!D13*1+'Cash Flow Model'!D16*(1+B$4))*Tax)-'Cash Flow Model'!D16*(1+B$4)+'Cash Flow Model'!D22*(1+B$4)+'Cash Flow Model'!D24*1*1+'Cash Flow Model'!D25*(1+B$4))</f>
        <v>-26500</v>
      </c>
      <c r="J60" s="60" t="n">
        <f aca="false">IF('Cash Flow Model'!E$4&gt;N,0,('Cash Flow Model'!E11*1*1+'Cash Flow Model'!E12*1*1+'Cash Flow Model'!E13*1+'Cash Flow Model'!E16*(1+B$4))-MAX(0,('Cash Flow Model'!E11*1*1+'Cash Flow Model'!E12*1*1+'Cash Flow Model'!E13*1+'Cash Flow Model'!E16*(1+B$4))*Tax)-'Cash Flow Model'!E16*(1+B$4)+'Cash Flow Model'!E22*(1+B$4)+'Cash Flow Model'!E24*1*1+'Cash Flow Model'!E25*(1+B$4))</f>
        <v>185241.4</v>
      </c>
      <c r="K60" s="60" t="n">
        <f aca="false">IF('Cash Flow Model'!F$4&gt;N,0,('Cash Flow Model'!F11*1*1+'Cash Flow Model'!F12*1*1+'Cash Flow Model'!F13*1+'Cash Flow Model'!F16*(1+B$4))-MAX(0,('Cash Flow Model'!F11*1*1+'Cash Flow Model'!F12*1*1+'Cash Flow Model'!F13*1+'Cash Flow Model'!F16*(1+B$4))*Tax)-'Cash Flow Model'!F16*(1+B$4)+'Cash Flow Model'!F22*(1+B$4)+'Cash Flow Model'!F24*1*1+'Cash Flow Model'!F25*(1+B$4))</f>
        <v>276323.4708</v>
      </c>
      <c r="L60" s="60" t="n">
        <f aca="false">IF('Cash Flow Model'!G$4&gt;N,0,('Cash Flow Model'!G11*1*1+'Cash Flow Model'!G12*1*1+'Cash Flow Model'!G13*1+'Cash Flow Model'!G16*(1+B$4))-MAX(0,('Cash Flow Model'!G11*1*1+'Cash Flow Model'!G12*1*1+'Cash Flow Model'!G13*1+'Cash Flow Model'!G16*(1+B$4))*Tax)-'Cash Flow Model'!G16*(1+B$4)+'Cash Flow Model'!G22*(1+B$4)+'Cash Flow Model'!G24*1*1+'Cash Flow Model'!G25*(1+B$4))</f>
        <v>320194.79602096</v>
      </c>
      <c r="M60" s="60" t="n">
        <f aca="false">IF('Cash Flow Model'!H$4&gt;N,0,('Cash Flow Model'!H11*1*1+'Cash Flow Model'!H12*1*1+'Cash Flow Model'!H13*1+'Cash Flow Model'!H16*(1+B$4))-MAX(0,('Cash Flow Model'!H11*1*1+'Cash Flow Model'!H12*1*1+'Cash Flow Model'!H13*1+'Cash Flow Model'!H16*(1+B$4))*Tax)-'Cash Flow Model'!H16*(1+B$4)+'Cash Flow Model'!H22*(1+B$4)+'Cash Flow Model'!H24*1*1+'Cash Flow Model'!H25*(1+B$4))</f>
        <v>350223.581572653</v>
      </c>
      <c r="N60" s="60" t="n">
        <f aca="false">IF('Cash Flow Model'!I$4&gt;N,0,('Cash Flow Model'!I11*1*1+'Cash Flow Model'!I12*1*1+'Cash Flow Model'!I13*1+'Cash Flow Model'!I16*(1+B$4))-MAX(0,('Cash Flow Model'!I11*1*1+'Cash Flow Model'!I12*1*1+'Cash Flow Model'!I13*1+'Cash Flow Model'!I16*(1+B$4))*Tax)-'Cash Flow Model'!I16*(1+B$4)+'Cash Flow Model'!I22*(1+B$4)+'Cash Flow Model'!I24*1*1+'Cash Flow Model'!I25*(1+B$4))</f>
        <v>382643.656137875</v>
      </c>
      <c r="O60" s="60" t="n">
        <f aca="false">IF('Cash Flow Model'!J$4&gt;N,0,('Cash Flow Model'!J11*1*1+'Cash Flow Model'!J12*1*1+'Cash Flow Model'!J13*1+'Cash Flow Model'!J16*(1+B$4))-MAX(0,('Cash Flow Model'!J11*1*1+'Cash Flow Model'!J12*1*1+'Cash Flow Model'!J13*1+'Cash Flow Model'!J16*(1+B$4))*Tax)-'Cash Flow Model'!J16*(1+B$4)+'Cash Flow Model'!J22*(1+B$4)+'Cash Flow Model'!J24*1*1+'Cash Flow Model'!J25*(1+B$4))</f>
        <v>417632.87667886</v>
      </c>
      <c r="P60" s="60" t="n">
        <f aca="false">IF('Cash Flow Model'!K$4&gt;N,0,('Cash Flow Model'!K11*1*1+'Cash Flow Model'!K12*1*1+'Cash Flow Model'!K13*1+'Cash Flow Model'!K16*(1+B$4))-MAX(0,('Cash Flow Model'!K11*1*1+'Cash Flow Model'!K12*1*1+'Cash Flow Model'!K13*1+'Cash Flow Model'!K16*(1+B$4))*Tax)-'Cash Flow Model'!K16*(1+B$4)+'Cash Flow Model'!K22*(1+B$4)+'Cash Flow Model'!K24*1*1+'Cash Flow Model'!K25*(1+B$4))</f>
        <v>455381.991489081</v>
      </c>
      <c r="Q60" s="60" t="n">
        <f aca="false">IF('Cash Flow Model'!L$4&gt;N,0,('Cash Flow Model'!L11*1*1+'Cash Flow Model'!L12*1*1+'Cash Flow Model'!L13*1+'Cash Flow Model'!L16*(1+B$4))-MAX(0,('Cash Flow Model'!L11*1*1+'Cash Flow Model'!L12*1*1+'Cash Flow Model'!L13*1+'Cash Flow Model'!L16*(1+B$4))*Tax)-'Cash Flow Model'!L16*(1+B$4)+'Cash Flow Model'!L22*(1+B$4)+'Cash Flow Model'!L24*1*1+'Cash Flow Model'!L25*(1+B$4))</f>
        <v>496095.564893511</v>
      </c>
      <c r="R60" s="60" t="n">
        <f aca="false">IF('Cash Flow Model'!M$4&gt;N,0,('Cash Flow Model'!M11*1*1+'Cash Flow Model'!M12*1*1+'Cash Flow Model'!M13*1+'Cash Flow Model'!M16*(1+B$4))-MAX(0,('Cash Flow Model'!M11*1*1+'Cash Flow Model'!M12*1*1+'Cash Flow Model'!M13*1+'Cash Flow Model'!M16*(1+B$4))*Tax)-'Cash Flow Model'!M16*(1+B$4)+'Cash Flow Model'!M22*(1+B$4)+'Cash Flow Model'!M24*1*1+'Cash Flow Model'!M25*(1+B$4))</f>
        <v>845702.876500144</v>
      </c>
    </row>
    <row r="61" customFormat="false" ht="15" hidden="false" customHeight="false" outlineLevel="0" collapsed="false">
      <c r="A61" s="59" t="str">
        <f aca="false">$A9&amp;" "&amp;TEXT(C$4,"+0%;-0%;0%")</f>
        <v>Capital expenditure -10%</v>
      </c>
      <c r="H61" s="60" t="n">
        <f aca="false">IF('Cash Flow Model'!C$4&gt;N,0,('Cash Flow Model'!C11*1*1+'Cash Flow Model'!C12*1*1+'Cash Flow Model'!C13*1+'Cash Flow Model'!C16*(1+C$4))-MAX(0,('Cash Flow Model'!C11*1*1+'Cash Flow Model'!C12*1*1+'Cash Flow Model'!C13*1+'Cash Flow Model'!C16*(1+C$4))*Tax)-'Cash Flow Model'!C16*(1+C$4)+'Cash Flow Model'!C22*(1+C$4)+'Cash Flow Model'!C24*1*1+'Cash Flow Model'!C25*(1+C$4))</f>
        <v>-810000</v>
      </c>
      <c r="I61" s="60" t="n">
        <f aca="false">IF('Cash Flow Model'!D$4&gt;N,0,('Cash Flow Model'!D11*1*1+'Cash Flow Model'!D12*1*1+'Cash Flow Model'!D13*1+'Cash Flow Model'!D16*(1+C$4))-MAX(0,('Cash Flow Model'!D11*1*1+'Cash Flow Model'!D12*1*1+'Cash Flow Model'!D13*1+'Cash Flow Model'!D16*(1+C$4))*Tax)-'Cash Flow Model'!D16*(1+C$4)+'Cash Flow Model'!D22*(1+C$4)+'Cash Flow Model'!D24*1*1+'Cash Flow Model'!D25*(1+C$4))</f>
        <v>-34375</v>
      </c>
      <c r="J61" s="60" t="n">
        <f aca="false">IF('Cash Flow Model'!E$4&gt;N,0,('Cash Flow Model'!E11*1*1+'Cash Flow Model'!E12*1*1+'Cash Flow Model'!E13*1+'Cash Flow Model'!E16*(1+C$4))-MAX(0,('Cash Flow Model'!E11*1*1+'Cash Flow Model'!E12*1*1+'Cash Flow Model'!E13*1+'Cash Flow Model'!E16*(1+C$4))*Tax)-'Cash Flow Model'!E16*(1+C$4)+'Cash Flow Model'!E22*(1+C$4)+'Cash Flow Model'!E24*1*1+'Cash Flow Model'!E25*(1+C$4))</f>
        <v>187366.4</v>
      </c>
      <c r="K61" s="60" t="n">
        <f aca="false">IF('Cash Flow Model'!F$4&gt;N,0,('Cash Flow Model'!F11*1*1+'Cash Flow Model'!F12*1*1+'Cash Flow Model'!F13*1+'Cash Flow Model'!F16*(1+C$4))-MAX(0,('Cash Flow Model'!F11*1*1+'Cash Flow Model'!F12*1*1+'Cash Flow Model'!F13*1+'Cash Flow Model'!F16*(1+C$4))*Tax)-'Cash Flow Model'!F16*(1+C$4)+'Cash Flow Model'!F22*(1+C$4)+'Cash Flow Model'!F24*1*1+'Cash Flow Model'!F25*(1+C$4))</f>
        <v>278448.4708</v>
      </c>
      <c r="L61" s="60" t="n">
        <f aca="false">IF('Cash Flow Model'!G$4&gt;N,0,('Cash Flow Model'!G11*1*1+'Cash Flow Model'!G12*1*1+'Cash Flow Model'!G13*1+'Cash Flow Model'!G16*(1+C$4))-MAX(0,('Cash Flow Model'!G11*1*1+'Cash Flow Model'!G12*1*1+'Cash Flow Model'!G13*1+'Cash Flow Model'!G16*(1+C$4))*Tax)-'Cash Flow Model'!G16*(1+C$4)+'Cash Flow Model'!G22*(1+C$4)+'Cash Flow Model'!G24*1*1+'Cash Flow Model'!G25*(1+C$4))</f>
        <v>322319.79602096</v>
      </c>
      <c r="M61" s="60" t="n">
        <f aca="false">IF('Cash Flow Model'!H$4&gt;N,0,('Cash Flow Model'!H11*1*1+'Cash Flow Model'!H12*1*1+'Cash Flow Model'!H13*1+'Cash Flow Model'!H16*(1+C$4))-MAX(0,('Cash Flow Model'!H11*1*1+'Cash Flow Model'!H12*1*1+'Cash Flow Model'!H13*1+'Cash Flow Model'!H16*(1+C$4))*Tax)-'Cash Flow Model'!H16*(1+C$4)+'Cash Flow Model'!H22*(1+C$4)+'Cash Flow Model'!H24*1*1+'Cash Flow Model'!H25*(1+C$4))</f>
        <v>352348.581572653</v>
      </c>
      <c r="N61" s="60" t="n">
        <f aca="false">IF('Cash Flow Model'!I$4&gt;N,0,('Cash Flow Model'!I11*1*1+'Cash Flow Model'!I12*1*1+'Cash Flow Model'!I13*1+'Cash Flow Model'!I16*(1+C$4))-MAX(0,('Cash Flow Model'!I11*1*1+'Cash Flow Model'!I12*1*1+'Cash Flow Model'!I13*1+'Cash Flow Model'!I16*(1+C$4))*Tax)-'Cash Flow Model'!I16*(1+C$4)+'Cash Flow Model'!I22*(1+C$4)+'Cash Flow Model'!I24*1*1+'Cash Flow Model'!I25*(1+C$4))</f>
        <v>384768.656137875</v>
      </c>
      <c r="O61" s="60" t="n">
        <f aca="false">IF('Cash Flow Model'!J$4&gt;N,0,('Cash Flow Model'!J11*1*1+'Cash Flow Model'!J12*1*1+'Cash Flow Model'!J13*1+'Cash Flow Model'!J16*(1+C$4))-MAX(0,('Cash Flow Model'!J11*1*1+'Cash Flow Model'!J12*1*1+'Cash Flow Model'!J13*1+'Cash Flow Model'!J16*(1+C$4))*Tax)-'Cash Flow Model'!J16*(1+C$4)+'Cash Flow Model'!J22*(1+C$4)+'Cash Flow Model'!J24*1*1+'Cash Flow Model'!J25*(1+C$4))</f>
        <v>419757.87667886</v>
      </c>
      <c r="P61" s="60" t="n">
        <f aca="false">IF('Cash Flow Model'!K$4&gt;N,0,('Cash Flow Model'!K11*1*1+'Cash Flow Model'!K12*1*1+'Cash Flow Model'!K13*1+'Cash Flow Model'!K16*(1+C$4))-MAX(0,('Cash Flow Model'!K11*1*1+'Cash Flow Model'!K12*1*1+'Cash Flow Model'!K13*1+'Cash Flow Model'!K16*(1+C$4))*Tax)-'Cash Flow Model'!K16*(1+C$4)+'Cash Flow Model'!K22*(1+C$4)+'Cash Flow Model'!K24*1*1+'Cash Flow Model'!K25*(1+C$4))</f>
        <v>457506.991489081</v>
      </c>
      <c r="Q61" s="60" t="n">
        <f aca="false">IF('Cash Flow Model'!L$4&gt;N,0,('Cash Flow Model'!L11*1*1+'Cash Flow Model'!L12*1*1+'Cash Flow Model'!L13*1+'Cash Flow Model'!L16*(1+C$4))-MAX(0,('Cash Flow Model'!L11*1*1+'Cash Flow Model'!L12*1*1+'Cash Flow Model'!L13*1+'Cash Flow Model'!L16*(1+C$4))*Tax)-'Cash Flow Model'!L16*(1+C$4)+'Cash Flow Model'!L22*(1+C$4)+'Cash Flow Model'!L24*1*1+'Cash Flow Model'!L25*(1+C$4))</f>
        <v>498220.564893511</v>
      </c>
      <c r="R61" s="60" t="n">
        <f aca="false">IF('Cash Flow Model'!M$4&gt;N,0,('Cash Flow Model'!M11*1*1+'Cash Flow Model'!M12*1*1+'Cash Flow Model'!M13*1+'Cash Flow Model'!M16*(1+C$4))-MAX(0,('Cash Flow Model'!M11*1*1+'Cash Flow Model'!M12*1*1+'Cash Flow Model'!M13*1+'Cash Flow Model'!M16*(1+C$4))*Tax)-'Cash Flow Model'!M16*(1+C$4)+'Cash Flow Model'!M22*(1+C$4)+'Cash Flow Model'!M24*1*1+'Cash Flow Model'!M25*(1+C$4))</f>
        <v>862827.876500144</v>
      </c>
    </row>
    <row r="62" customFormat="false" ht="15" hidden="false" customHeight="false" outlineLevel="0" collapsed="false">
      <c r="A62" s="59" t="str">
        <f aca="false">$A9&amp;" "&amp;TEXT(D$4,"+0%;-0%;0%")</f>
        <v>Capital expenditure 0%</v>
      </c>
      <c r="H62" s="60" t="n">
        <f aca="false">IF('Cash Flow Model'!C$4&gt;N,0,('Cash Flow Model'!C11*1*1+'Cash Flow Model'!C12*1*1+'Cash Flow Model'!C13*1+'Cash Flow Model'!C16*(1+D$4))-MAX(0,('Cash Flow Model'!C11*1*1+'Cash Flow Model'!C12*1*1+'Cash Flow Model'!C13*1+'Cash Flow Model'!C16*(1+D$4))*Tax)-'Cash Flow Model'!C16*(1+D$4)+'Cash Flow Model'!C22*(1+D$4)+'Cash Flow Model'!C24*1*1+'Cash Flow Model'!C25*(1+D$4))</f>
        <v>-900000</v>
      </c>
      <c r="I62" s="60" t="n">
        <f aca="false">IF('Cash Flow Model'!D$4&gt;N,0,('Cash Flow Model'!D11*1*1+'Cash Flow Model'!D12*1*1+'Cash Flow Model'!D13*1+'Cash Flow Model'!D16*(1+D$4))-MAX(0,('Cash Flow Model'!D11*1*1+'Cash Flow Model'!D12*1*1+'Cash Flow Model'!D13*1+'Cash Flow Model'!D16*(1+D$4))*Tax)-'Cash Flow Model'!D16*(1+D$4)+'Cash Flow Model'!D22*(1+D$4)+'Cash Flow Model'!D24*1*1+'Cash Flow Model'!D25*(1+D$4))</f>
        <v>-42250</v>
      </c>
      <c r="J62" s="60" t="n">
        <f aca="false">IF('Cash Flow Model'!E$4&gt;N,0,('Cash Flow Model'!E11*1*1+'Cash Flow Model'!E12*1*1+'Cash Flow Model'!E13*1+'Cash Flow Model'!E16*(1+D$4))-MAX(0,('Cash Flow Model'!E11*1*1+'Cash Flow Model'!E12*1*1+'Cash Flow Model'!E13*1+'Cash Flow Model'!E16*(1+D$4))*Tax)-'Cash Flow Model'!E16*(1+D$4)+'Cash Flow Model'!E22*(1+D$4)+'Cash Flow Model'!E24*1*1+'Cash Flow Model'!E25*(1+D$4))</f>
        <v>189491.4</v>
      </c>
      <c r="K62" s="60" t="n">
        <f aca="false">IF('Cash Flow Model'!F$4&gt;N,0,('Cash Flow Model'!F11*1*1+'Cash Flow Model'!F12*1*1+'Cash Flow Model'!F13*1+'Cash Flow Model'!F16*(1+D$4))-MAX(0,('Cash Flow Model'!F11*1*1+'Cash Flow Model'!F12*1*1+'Cash Flow Model'!F13*1+'Cash Flow Model'!F16*(1+D$4))*Tax)-'Cash Flow Model'!F16*(1+D$4)+'Cash Flow Model'!F22*(1+D$4)+'Cash Flow Model'!F24*1*1+'Cash Flow Model'!F25*(1+D$4))</f>
        <v>280573.4708</v>
      </c>
      <c r="L62" s="60" t="n">
        <f aca="false">IF('Cash Flow Model'!G$4&gt;N,0,('Cash Flow Model'!G11*1*1+'Cash Flow Model'!G12*1*1+'Cash Flow Model'!G13*1+'Cash Flow Model'!G16*(1+D$4))-MAX(0,('Cash Flow Model'!G11*1*1+'Cash Flow Model'!G12*1*1+'Cash Flow Model'!G13*1+'Cash Flow Model'!G16*(1+D$4))*Tax)-'Cash Flow Model'!G16*(1+D$4)+'Cash Flow Model'!G22*(1+D$4)+'Cash Flow Model'!G24*1*1+'Cash Flow Model'!G25*(1+D$4))</f>
        <v>324444.79602096</v>
      </c>
      <c r="M62" s="60" t="n">
        <f aca="false">IF('Cash Flow Model'!H$4&gt;N,0,('Cash Flow Model'!H11*1*1+'Cash Flow Model'!H12*1*1+'Cash Flow Model'!H13*1+'Cash Flow Model'!H16*(1+D$4))-MAX(0,('Cash Flow Model'!H11*1*1+'Cash Flow Model'!H12*1*1+'Cash Flow Model'!H13*1+'Cash Flow Model'!H16*(1+D$4))*Tax)-'Cash Flow Model'!H16*(1+D$4)+'Cash Flow Model'!H22*(1+D$4)+'Cash Flow Model'!H24*1*1+'Cash Flow Model'!H25*(1+D$4))</f>
        <v>354473.581572653</v>
      </c>
      <c r="N62" s="60" t="n">
        <f aca="false">IF('Cash Flow Model'!I$4&gt;N,0,('Cash Flow Model'!I11*1*1+'Cash Flow Model'!I12*1*1+'Cash Flow Model'!I13*1+'Cash Flow Model'!I16*(1+D$4))-MAX(0,('Cash Flow Model'!I11*1*1+'Cash Flow Model'!I12*1*1+'Cash Flow Model'!I13*1+'Cash Flow Model'!I16*(1+D$4))*Tax)-'Cash Flow Model'!I16*(1+D$4)+'Cash Flow Model'!I22*(1+D$4)+'Cash Flow Model'!I24*1*1+'Cash Flow Model'!I25*(1+D$4))</f>
        <v>386893.656137875</v>
      </c>
      <c r="O62" s="60" t="n">
        <f aca="false">IF('Cash Flow Model'!J$4&gt;N,0,('Cash Flow Model'!J11*1*1+'Cash Flow Model'!J12*1*1+'Cash Flow Model'!J13*1+'Cash Flow Model'!J16*(1+D$4))-MAX(0,('Cash Flow Model'!J11*1*1+'Cash Flow Model'!J12*1*1+'Cash Flow Model'!J13*1+'Cash Flow Model'!J16*(1+D$4))*Tax)-'Cash Flow Model'!J16*(1+D$4)+'Cash Flow Model'!J22*(1+D$4)+'Cash Flow Model'!J24*1*1+'Cash Flow Model'!J25*(1+D$4))</f>
        <v>421882.87667886</v>
      </c>
      <c r="P62" s="60" t="n">
        <f aca="false">IF('Cash Flow Model'!K$4&gt;N,0,('Cash Flow Model'!K11*1*1+'Cash Flow Model'!K12*1*1+'Cash Flow Model'!K13*1+'Cash Flow Model'!K16*(1+D$4))-MAX(0,('Cash Flow Model'!K11*1*1+'Cash Flow Model'!K12*1*1+'Cash Flow Model'!K13*1+'Cash Flow Model'!K16*(1+D$4))*Tax)-'Cash Flow Model'!K16*(1+D$4)+'Cash Flow Model'!K22*(1+D$4)+'Cash Flow Model'!K24*1*1+'Cash Flow Model'!K25*(1+D$4))</f>
        <v>459631.991489081</v>
      </c>
      <c r="Q62" s="60" t="n">
        <f aca="false">IF('Cash Flow Model'!L$4&gt;N,0,('Cash Flow Model'!L11*1*1+'Cash Flow Model'!L12*1*1+'Cash Flow Model'!L13*1+'Cash Flow Model'!L16*(1+D$4))-MAX(0,('Cash Flow Model'!L11*1*1+'Cash Flow Model'!L12*1*1+'Cash Flow Model'!L13*1+'Cash Flow Model'!L16*(1+D$4))*Tax)-'Cash Flow Model'!L16*(1+D$4)+'Cash Flow Model'!L22*(1+D$4)+'Cash Flow Model'!L24*1*1+'Cash Flow Model'!L25*(1+D$4))</f>
        <v>500345.564893511</v>
      </c>
      <c r="R62" s="60" t="n">
        <f aca="false">IF('Cash Flow Model'!M$4&gt;N,0,('Cash Flow Model'!M11*1*1+'Cash Flow Model'!M12*1*1+'Cash Flow Model'!M13*1+'Cash Flow Model'!M16*(1+D$4))-MAX(0,('Cash Flow Model'!M11*1*1+'Cash Flow Model'!M12*1*1+'Cash Flow Model'!M13*1+'Cash Flow Model'!M16*(1+D$4))*Tax)-'Cash Flow Model'!M16*(1+D$4)+'Cash Flow Model'!M22*(1+D$4)+'Cash Flow Model'!M24*1*1+'Cash Flow Model'!M25*(1+D$4))</f>
        <v>879952.876500144</v>
      </c>
    </row>
    <row r="63" customFormat="false" ht="15" hidden="false" customHeight="false" outlineLevel="0" collapsed="false">
      <c r="A63" s="59" t="str">
        <f aca="false">$A9&amp;" "&amp;TEXT(E$4,"+0%;-0%;0%")</f>
        <v>Capital expenditure +10%</v>
      </c>
      <c r="H63" s="60" t="n">
        <f aca="false">IF('Cash Flow Model'!C$4&gt;N,0,('Cash Flow Model'!C11*1*1+'Cash Flow Model'!C12*1*1+'Cash Flow Model'!C13*1+'Cash Flow Model'!C16*(1+E$4))-MAX(0,('Cash Flow Model'!C11*1*1+'Cash Flow Model'!C12*1*1+'Cash Flow Model'!C13*1+'Cash Flow Model'!C16*(1+E$4))*Tax)-'Cash Flow Model'!C16*(1+E$4)+'Cash Flow Model'!C22*(1+E$4)+'Cash Flow Model'!C24*1*1+'Cash Flow Model'!C25*(1+E$4))</f>
        <v>-990000</v>
      </c>
      <c r="I63" s="60" t="n">
        <f aca="false">IF('Cash Flow Model'!D$4&gt;N,0,('Cash Flow Model'!D11*1*1+'Cash Flow Model'!D12*1*1+'Cash Flow Model'!D13*1+'Cash Flow Model'!D16*(1+E$4))-MAX(0,('Cash Flow Model'!D11*1*1+'Cash Flow Model'!D12*1*1+'Cash Flow Model'!D13*1+'Cash Flow Model'!D16*(1+E$4))*Tax)-'Cash Flow Model'!D16*(1+E$4)+'Cash Flow Model'!D22*(1+E$4)+'Cash Flow Model'!D24*1*1+'Cash Flow Model'!D25*(1+E$4))</f>
        <v>-50125</v>
      </c>
      <c r="J63" s="60" t="n">
        <f aca="false">IF('Cash Flow Model'!E$4&gt;N,0,('Cash Flow Model'!E11*1*1+'Cash Flow Model'!E12*1*1+'Cash Flow Model'!E13*1+'Cash Flow Model'!E16*(1+E$4))-MAX(0,('Cash Flow Model'!E11*1*1+'Cash Flow Model'!E12*1*1+'Cash Flow Model'!E13*1+'Cash Flow Model'!E16*(1+E$4))*Tax)-'Cash Flow Model'!E16*(1+E$4)+'Cash Flow Model'!E22*(1+E$4)+'Cash Flow Model'!E24*1*1+'Cash Flow Model'!E25*(1+E$4))</f>
        <v>191616.4</v>
      </c>
      <c r="K63" s="60" t="n">
        <f aca="false">IF('Cash Flow Model'!F$4&gt;N,0,('Cash Flow Model'!F11*1*1+'Cash Flow Model'!F12*1*1+'Cash Flow Model'!F13*1+'Cash Flow Model'!F16*(1+E$4))-MAX(0,('Cash Flow Model'!F11*1*1+'Cash Flow Model'!F12*1*1+'Cash Flow Model'!F13*1+'Cash Flow Model'!F16*(1+E$4))*Tax)-'Cash Flow Model'!F16*(1+E$4)+'Cash Flow Model'!F22*(1+E$4)+'Cash Flow Model'!F24*1*1+'Cash Flow Model'!F25*(1+E$4))</f>
        <v>282698.4708</v>
      </c>
      <c r="L63" s="60" t="n">
        <f aca="false">IF('Cash Flow Model'!G$4&gt;N,0,('Cash Flow Model'!G11*1*1+'Cash Flow Model'!G12*1*1+'Cash Flow Model'!G13*1+'Cash Flow Model'!G16*(1+E$4))-MAX(0,('Cash Flow Model'!G11*1*1+'Cash Flow Model'!G12*1*1+'Cash Flow Model'!G13*1+'Cash Flow Model'!G16*(1+E$4))*Tax)-'Cash Flow Model'!G16*(1+E$4)+'Cash Flow Model'!G22*(1+E$4)+'Cash Flow Model'!G24*1*1+'Cash Flow Model'!G25*(1+E$4))</f>
        <v>326569.79602096</v>
      </c>
      <c r="M63" s="60" t="n">
        <f aca="false">IF('Cash Flow Model'!H$4&gt;N,0,('Cash Flow Model'!H11*1*1+'Cash Flow Model'!H12*1*1+'Cash Flow Model'!H13*1+'Cash Flow Model'!H16*(1+E$4))-MAX(0,('Cash Flow Model'!H11*1*1+'Cash Flow Model'!H12*1*1+'Cash Flow Model'!H13*1+'Cash Flow Model'!H16*(1+E$4))*Tax)-'Cash Flow Model'!H16*(1+E$4)+'Cash Flow Model'!H22*(1+E$4)+'Cash Flow Model'!H24*1*1+'Cash Flow Model'!H25*(1+E$4))</f>
        <v>356598.581572653</v>
      </c>
      <c r="N63" s="60" t="n">
        <f aca="false">IF('Cash Flow Model'!I$4&gt;N,0,('Cash Flow Model'!I11*1*1+'Cash Flow Model'!I12*1*1+'Cash Flow Model'!I13*1+'Cash Flow Model'!I16*(1+E$4))-MAX(0,('Cash Flow Model'!I11*1*1+'Cash Flow Model'!I12*1*1+'Cash Flow Model'!I13*1+'Cash Flow Model'!I16*(1+E$4))*Tax)-'Cash Flow Model'!I16*(1+E$4)+'Cash Flow Model'!I22*(1+E$4)+'Cash Flow Model'!I24*1*1+'Cash Flow Model'!I25*(1+E$4))</f>
        <v>389018.656137875</v>
      </c>
      <c r="O63" s="60" t="n">
        <f aca="false">IF('Cash Flow Model'!J$4&gt;N,0,('Cash Flow Model'!J11*1*1+'Cash Flow Model'!J12*1*1+'Cash Flow Model'!J13*1+'Cash Flow Model'!J16*(1+E$4))-MAX(0,('Cash Flow Model'!J11*1*1+'Cash Flow Model'!J12*1*1+'Cash Flow Model'!J13*1+'Cash Flow Model'!J16*(1+E$4))*Tax)-'Cash Flow Model'!J16*(1+E$4)+'Cash Flow Model'!J22*(1+E$4)+'Cash Flow Model'!J24*1*1+'Cash Flow Model'!J25*(1+E$4))</f>
        <v>424007.87667886</v>
      </c>
      <c r="P63" s="60" t="n">
        <f aca="false">IF('Cash Flow Model'!K$4&gt;N,0,('Cash Flow Model'!K11*1*1+'Cash Flow Model'!K12*1*1+'Cash Flow Model'!K13*1+'Cash Flow Model'!K16*(1+E$4))-MAX(0,('Cash Flow Model'!K11*1*1+'Cash Flow Model'!K12*1*1+'Cash Flow Model'!K13*1+'Cash Flow Model'!K16*(1+E$4))*Tax)-'Cash Flow Model'!K16*(1+E$4)+'Cash Flow Model'!K22*(1+E$4)+'Cash Flow Model'!K24*1*1+'Cash Flow Model'!K25*(1+E$4))</f>
        <v>461756.991489081</v>
      </c>
      <c r="Q63" s="60" t="n">
        <f aca="false">IF('Cash Flow Model'!L$4&gt;N,0,('Cash Flow Model'!L11*1*1+'Cash Flow Model'!L12*1*1+'Cash Flow Model'!L13*1+'Cash Flow Model'!L16*(1+E$4))-MAX(0,('Cash Flow Model'!L11*1*1+'Cash Flow Model'!L12*1*1+'Cash Flow Model'!L13*1+'Cash Flow Model'!L16*(1+E$4))*Tax)-'Cash Flow Model'!L16*(1+E$4)+'Cash Flow Model'!L22*(1+E$4)+'Cash Flow Model'!L24*1*1+'Cash Flow Model'!L25*(1+E$4))</f>
        <v>502470.564893511</v>
      </c>
      <c r="R63" s="60" t="n">
        <f aca="false">IF('Cash Flow Model'!M$4&gt;N,0,('Cash Flow Model'!M11*1*1+'Cash Flow Model'!M12*1*1+'Cash Flow Model'!M13*1+'Cash Flow Model'!M16*(1+E$4))-MAX(0,('Cash Flow Model'!M11*1*1+'Cash Flow Model'!M12*1*1+'Cash Flow Model'!M13*1+'Cash Flow Model'!M16*(1+E$4))*Tax)-'Cash Flow Model'!M16*(1+E$4)+'Cash Flow Model'!M22*(1+E$4)+'Cash Flow Model'!M24*1*1+'Cash Flow Model'!M25*(1+E$4))</f>
        <v>897077.876500144</v>
      </c>
    </row>
    <row r="64" customFormat="false" ht="15" hidden="false" customHeight="false" outlineLevel="0" collapsed="false">
      <c r="A64" s="59" t="str">
        <f aca="false">$A9&amp;" "&amp;TEXT(F$4,"+0%;-0%;0%")</f>
        <v>Capital expenditure +20%</v>
      </c>
      <c r="H64" s="60" t="n">
        <f aca="false">IF('Cash Flow Model'!C$4&gt;N,0,('Cash Flow Model'!C11*1*1+'Cash Flow Model'!C12*1*1+'Cash Flow Model'!C13*1+'Cash Flow Model'!C16*(1+F$4))-MAX(0,('Cash Flow Model'!C11*1*1+'Cash Flow Model'!C12*1*1+'Cash Flow Model'!C13*1+'Cash Flow Model'!C16*(1+F$4))*Tax)-'Cash Flow Model'!C16*(1+F$4)+'Cash Flow Model'!C22*(1+F$4)+'Cash Flow Model'!C24*1*1+'Cash Flow Model'!C25*(1+F$4))</f>
        <v>-1080000</v>
      </c>
      <c r="I64" s="60" t="n">
        <f aca="false">IF('Cash Flow Model'!D$4&gt;N,0,('Cash Flow Model'!D11*1*1+'Cash Flow Model'!D12*1*1+'Cash Flow Model'!D13*1+'Cash Flow Model'!D16*(1+F$4))-MAX(0,('Cash Flow Model'!D11*1*1+'Cash Flow Model'!D12*1*1+'Cash Flow Model'!D13*1+'Cash Flow Model'!D16*(1+F$4))*Tax)-'Cash Flow Model'!D16*(1+F$4)+'Cash Flow Model'!D22*(1+F$4)+'Cash Flow Model'!D24*1*1+'Cash Flow Model'!D25*(1+F$4))</f>
        <v>-58000</v>
      </c>
      <c r="J64" s="60" t="n">
        <f aca="false">IF('Cash Flow Model'!E$4&gt;N,0,('Cash Flow Model'!E11*1*1+'Cash Flow Model'!E12*1*1+'Cash Flow Model'!E13*1+'Cash Flow Model'!E16*(1+F$4))-MAX(0,('Cash Flow Model'!E11*1*1+'Cash Flow Model'!E12*1*1+'Cash Flow Model'!E13*1+'Cash Flow Model'!E16*(1+F$4))*Tax)-'Cash Flow Model'!E16*(1+F$4)+'Cash Flow Model'!E22*(1+F$4)+'Cash Flow Model'!E24*1*1+'Cash Flow Model'!E25*(1+F$4))</f>
        <v>193741.4</v>
      </c>
      <c r="K64" s="60" t="n">
        <f aca="false">IF('Cash Flow Model'!F$4&gt;N,0,('Cash Flow Model'!F11*1*1+'Cash Flow Model'!F12*1*1+'Cash Flow Model'!F13*1+'Cash Flow Model'!F16*(1+F$4))-MAX(0,('Cash Flow Model'!F11*1*1+'Cash Flow Model'!F12*1*1+'Cash Flow Model'!F13*1+'Cash Flow Model'!F16*(1+F$4))*Tax)-'Cash Flow Model'!F16*(1+F$4)+'Cash Flow Model'!F22*(1+F$4)+'Cash Flow Model'!F24*1*1+'Cash Flow Model'!F25*(1+F$4))</f>
        <v>284823.4708</v>
      </c>
      <c r="L64" s="60" t="n">
        <f aca="false">IF('Cash Flow Model'!G$4&gt;N,0,('Cash Flow Model'!G11*1*1+'Cash Flow Model'!G12*1*1+'Cash Flow Model'!G13*1+'Cash Flow Model'!G16*(1+F$4))-MAX(0,('Cash Flow Model'!G11*1*1+'Cash Flow Model'!G12*1*1+'Cash Flow Model'!G13*1+'Cash Flow Model'!G16*(1+F$4))*Tax)-'Cash Flow Model'!G16*(1+F$4)+'Cash Flow Model'!G22*(1+F$4)+'Cash Flow Model'!G24*1*1+'Cash Flow Model'!G25*(1+F$4))</f>
        <v>328694.79602096</v>
      </c>
      <c r="M64" s="60" t="n">
        <f aca="false">IF('Cash Flow Model'!H$4&gt;N,0,('Cash Flow Model'!H11*1*1+'Cash Flow Model'!H12*1*1+'Cash Flow Model'!H13*1+'Cash Flow Model'!H16*(1+F$4))-MAX(0,('Cash Flow Model'!H11*1*1+'Cash Flow Model'!H12*1*1+'Cash Flow Model'!H13*1+'Cash Flow Model'!H16*(1+F$4))*Tax)-'Cash Flow Model'!H16*(1+F$4)+'Cash Flow Model'!H22*(1+F$4)+'Cash Flow Model'!H24*1*1+'Cash Flow Model'!H25*(1+F$4))</f>
        <v>358723.581572653</v>
      </c>
      <c r="N64" s="60" t="n">
        <f aca="false">IF('Cash Flow Model'!I$4&gt;N,0,('Cash Flow Model'!I11*1*1+'Cash Flow Model'!I12*1*1+'Cash Flow Model'!I13*1+'Cash Flow Model'!I16*(1+F$4))-MAX(0,('Cash Flow Model'!I11*1*1+'Cash Flow Model'!I12*1*1+'Cash Flow Model'!I13*1+'Cash Flow Model'!I16*(1+F$4))*Tax)-'Cash Flow Model'!I16*(1+F$4)+'Cash Flow Model'!I22*(1+F$4)+'Cash Flow Model'!I24*1*1+'Cash Flow Model'!I25*(1+F$4))</f>
        <v>391143.656137875</v>
      </c>
      <c r="O64" s="60" t="n">
        <f aca="false">IF('Cash Flow Model'!J$4&gt;N,0,('Cash Flow Model'!J11*1*1+'Cash Flow Model'!J12*1*1+'Cash Flow Model'!J13*1+'Cash Flow Model'!J16*(1+F$4))-MAX(0,('Cash Flow Model'!J11*1*1+'Cash Flow Model'!J12*1*1+'Cash Flow Model'!J13*1+'Cash Flow Model'!J16*(1+F$4))*Tax)-'Cash Flow Model'!J16*(1+F$4)+'Cash Flow Model'!J22*(1+F$4)+'Cash Flow Model'!J24*1*1+'Cash Flow Model'!J25*(1+F$4))</f>
        <v>426132.87667886</v>
      </c>
      <c r="P64" s="60" t="n">
        <f aca="false">IF('Cash Flow Model'!K$4&gt;N,0,('Cash Flow Model'!K11*1*1+'Cash Flow Model'!K12*1*1+'Cash Flow Model'!K13*1+'Cash Flow Model'!K16*(1+F$4))-MAX(0,('Cash Flow Model'!K11*1*1+'Cash Flow Model'!K12*1*1+'Cash Flow Model'!K13*1+'Cash Flow Model'!K16*(1+F$4))*Tax)-'Cash Flow Model'!K16*(1+F$4)+'Cash Flow Model'!K22*(1+F$4)+'Cash Flow Model'!K24*1*1+'Cash Flow Model'!K25*(1+F$4))</f>
        <v>463881.991489081</v>
      </c>
      <c r="Q64" s="60" t="n">
        <f aca="false">IF('Cash Flow Model'!L$4&gt;N,0,('Cash Flow Model'!L11*1*1+'Cash Flow Model'!L12*1*1+'Cash Flow Model'!L13*1+'Cash Flow Model'!L16*(1+F$4))-MAX(0,('Cash Flow Model'!L11*1*1+'Cash Flow Model'!L12*1*1+'Cash Flow Model'!L13*1+'Cash Flow Model'!L16*(1+F$4))*Tax)-'Cash Flow Model'!L16*(1+F$4)+'Cash Flow Model'!L22*(1+F$4)+'Cash Flow Model'!L24*1*1+'Cash Flow Model'!L25*(1+F$4))</f>
        <v>504595.564893511</v>
      </c>
      <c r="R64" s="60" t="n">
        <f aca="false">IF('Cash Flow Model'!M$4&gt;N,0,('Cash Flow Model'!M11*1*1+'Cash Flow Model'!M12*1*1+'Cash Flow Model'!M13*1+'Cash Flow Model'!M16*(1+F$4))-MAX(0,('Cash Flow Model'!M11*1*1+'Cash Flow Model'!M12*1*1+'Cash Flow Model'!M13*1+'Cash Flow Model'!M16*(1+F$4))*Tax)-'Cash Flow Model'!M16*(1+F$4)+'Cash Flow Model'!M22*(1+F$4)+'Cash Flow Model'!M24*1*1+'Cash Flow Model'!M25*(1+F$4))</f>
        <v>914202.876500144</v>
      </c>
    </row>
  </sheetData>
  <conditionalFormatting sqref="B5:F10">
    <cfRule type="cellIs" priority="2" operator="lessThan" aboveAverage="0" equalAverage="0" bottom="0" percent="0" rank="0" text="" dxfId="6">
      <formula>0</formula>
    </cfRule>
  </conditionalFormatting>
  <conditionalFormatting sqref="D5:D10">
    <cfRule type="expression" priority="3" aboveAverage="0" equalAverage="0" bottom="0" percent="0" rank="0" text="" dxfId="7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M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13" min="3" style="0" width="11"/>
  </cols>
  <sheetData>
    <row r="1" customFormat="false" ht="17.35" hidden="false" customHeight="false" outlineLevel="0" collapsed="false">
      <c r="A1" s="10" t="s">
        <v>164</v>
      </c>
    </row>
    <row r="2" customFormat="false" ht="15" hidden="false" customHeight="false" outlineLevel="0" collapsed="false">
      <c r="A2" s="11" t="s">
        <v>165</v>
      </c>
    </row>
    <row r="4" customFormat="false" ht="23.85" hidden="false" customHeight="false" outlineLevel="0" collapsed="false">
      <c r="A4" s="12" t="s">
        <v>166</v>
      </c>
      <c r="B4" s="43" t="s">
        <v>151</v>
      </c>
      <c r="C4" s="43" t="s">
        <v>167</v>
      </c>
      <c r="D4" s="43" t="s">
        <v>168</v>
      </c>
      <c r="E4" s="43" t="s">
        <v>169</v>
      </c>
      <c r="F4" s="43" t="s">
        <v>170</v>
      </c>
      <c r="G4" s="43" t="s">
        <v>171</v>
      </c>
      <c r="H4" s="43" t="s">
        <v>172</v>
      </c>
      <c r="I4" s="43" t="s">
        <v>173</v>
      </c>
      <c r="J4" s="43" t="s">
        <v>174</v>
      </c>
      <c r="K4" s="43" t="s">
        <v>175</v>
      </c>
      <c r="L4" s="43" t="s">
        <v>176</v>
      </c>
      <c r="M4" s="43" t="s">
        <v>177</v>
      </c>
    </row>
    <row r="5" customFormat="false" ht="15" hidden="false" customHeight="false" outlineLevel="0" collapsed="false">
      <c r="A5" s="25" t="s">
        <v>178</v>
      </c>
      <c r="B5" s="61" t="n">
        <f aca="false">WACC</f>
        <v>0.12</v>
      </c>
      <c r="C5" s="62" t="n">
        <f aca="false">'Cash Flow Model'!C28</f>
        <v>-900000</v>
      </c>
      <c r="D5" s="62" t="n">
        <f aca="false">'Cash Flow Model'!D28</f>
        <v>-42250</v>
      </c>
      <c r="E5" s="62" t="n">
        <f aca="false">'Cash Flow Model'!E28</f>
        <v>189491.4</v>
      </c>
      <c r="F5" s="62" t="n">
        <f aca="false">'Cash Flow Model'!F28</f>
        <v>280573.4708</v>
      </c>
      <c r="G5" s="62" t="n">
        <f aca="false">'Cash Flow Model'!G28</f>
        <v>324444.79602096</v>
      </c>
      <c r="H5" s="62" t="n">
        <f aca="false">'Cash Flow Model'!H28</f>
        <v>354473.581572653</v>
      </c>
      <c r="I5" s="62" t="n">
        <f aca="false">'Cash Flow Model'!I28</f>
        <v>386893.656137875</v>
      </c>
      <c r="J5" s="62" t="n">
        <f aca="false">'Cash Flow Model'!J28</f>
        <v>421882.87667886</v>
      </c>
      <c r="K5" s="62" t="n">
        <f aca="false">'Cash Flow Model'!K28</f>
        <v>459631.991489081</v>
      </c>
      <c r="L5" s="62" t="n">
        <f aca="false">'Cash Flow Model'!L28</f>
        <v>500345.564893511</v>
      </c>
      <c r="M5" s="62" t="n">
        <f aca="false">'Cash Flow Model'!M28</f>
        <v>879952.876500144</v>
      </c>
    </row>
    <row r="6" customFormat="false" ht="15" hidden="false" customHeight="false" outlineLevel="0" collapsed="false">
      <c r="A6" s="6" t="s">
        <v>179</v>
      </c>
      <c r="B6" s="61" t="n">
        <f aca="false">WACC</f>
        <v>0.12</v>
      </c>
      <c r="C6" s="63" t="n">
        <v>-400000</v>
      </c>
      <c r="D6" s="63" t="n">
        <v>90000</v>
      </c>
      <c r="E6" s="63" t="n">
        <v>140000</v>
      </c>
      <c r="F6" s="63" t="n">
        <v>160000</v>
      </c>
      <c r="G6" s="63" t="n">
        <v>170000</v>
      </c>
      <c r="H6" s="63" t="n">
        <v>175000</v>
      </c>
      <c r="I6" s="63" t="n">
        <v>180000</v>
      </c>
      <c r="J6" s="63" t="n">
        <v>185000</v>
      </c>
      <c r="K6" s="63" t="n">
        <v>190000</v>
      </c>
      <c r="L6" s="63" t="n">
        <v>195000</v>
      </c>
      <c r="M6" s="63" t="n">
        <v>200000</v>
      </c>
    </row>
    <row r="7" customFormat="false" ht="15" hidden="false" customHeight="false" outlineLevel="0" collapsed="false">
      <c r="A7" s="6" t="s">
        <v>180</v>
      </c>
      <c r="B7" s="61" t="n">
        <f aca="false">WACC</f>
        <v>0.12</v>
      </c>
      <c r="C7" s="63" t="n">
        <v>-600000</v>
      </c>
      <c r="D7" s="63" t="n">
        <v>80000</v>
      </c>
      <c r="E7" s="63" t="n">
        <v>150000</v>
      </c>
      <c r="F7" s="63" t="n">
        <v>170000</v>
      </c>
      <c r="G7" s="63" t="n">
        <v>180000</v>
      </c>
      <c r="H7" s="63" t="n">
        <v>185000</v>
      </c>
      <c r="I7" s="63" t="n">
        <v>190000</v>
      </c>
      <c r="J7" s="63" t="n">
        <v>195000</v>
      </c>
      <c r="K7" s="63" t="n">
        <v>200000</v>
      </c>
      <c r="L7" s="63" t="n">
        <v>205000</v>
      </c>
      <c r="M7" s="63" t="n">
        <v>260000</v>
      </c>
    </row>
    <row r="8" customFormat="false" ht="15" hidden="false" customHeight="false" outlineLevel="0" collapsed="false">
      <c r="A8" s="6" t="s">
        <v>181</v>
      </c>
      <c r="B8" s="61" t="n">
        <f aca="false">WACC</f>
        <v>0.12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customFormat="false" ht="15" hidden="false" customHeight="false" outlineLevel="0" collapsed="false">
      <c r="A9" s="6" t="s">
        <v>182</v>
      </c>
      <c r="B9" s="61" t="n">
        <f aca="false">WACC</f>
        <v>0.12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</row>
    <row r="11" customFormat="false" ht="15" hidden="false" customHeight="false" outlineLevel="0" collapsed="false">
      <c r="A11" s="52" t="s">
        <v>183</v>
      </c>
    </row>
    <row r="12" customFormat="false" ht="23.85" hidden="false" customHeight="false" outlineLevel="0" collapsed="false">
      <c r="A12" s="43" t="s">
        <v>166</v>
      </c>
      <c r="B12" s="43" t="s">
        <v>184</v>
      </c>
      <c r="C12" s="43" t="s">
        <v>185</v>
      </c>
      <c r="D12" s="43" t="s">
        <v>186</v>
      </c>
      <c r="E12" s="43" t="s">
        <v>187</v>
      </c>
      <c r="F12" s="43" t="s">
        <v>188</v>
      </c>
      <c r="G12" s="43" t="s">
        <v>189</v>
      </c>
    </row>
    <row r="13" customFormat="false" ht="15" hidden="false" customHeight="false" outlineLevel="0" collapsed="false">
      <c r="A13" s="7" t="str">
        <f aca="false">A5</f>
        <v>Option 1 – this project (linked)</v>
      </c>
      <c r="B13" s="44" t="n">
        <f aca="false">IF(COUNT($C5:$M5)&gt;1,SUMPRODUCT($C5:$M5/(1+$B5)^YrRow),"")</f>
        <v>856612.497131708</v>
      </c>
      <c r="C13" s="64" t="n">
        <f aca="false">IF(COUNT($C5:$M5)&gt;1,IFERROR(IRR($C5:$M5,0.1),"n/a"),"")</f>
        <v>0.252157842754007</v>
      </c>
      <c r="D13" s="64" t="n">
        <f aca="false">IF(COUNT($C5:$M5)&gt;1,IFERROR(MIRR($C5:$M5,$B5,Reinv),"n/a"),"")</f>
        <v>0.187139904834994</v>
      </c>
      <c r="E13" s="65" t="n">
        <f aca="false">IF(COUNT($C5:$M5)&gt;1,IFERROR(1+B13/-SUMPRODUCT(($C5:$M5&lt;0)*$C5:$M5/(1+$B5)^YrRow),""),"")</f>
        <v>1.91350249634612</v>
      </c>
      <c r="F13" s="66" t="n">
        <f aca="false">IF(NOT(COUNT($C5:$M5)&gt;1),"",IF(MAX(C25:M25)&lt;0,"Beyond period",COUNTIF(C25:M25,"&lt;0")))</f>
        <v>5</v>
      </c>
      <c r="G13" s="67" t="n">
        <f aca="false">IF(ISNUMBER(B13),RANK(B13,$B$13:$B$17),"")</f>
        <v>1</v>
      </c>
    </row>
    <row r="14" customFormat="false" ht="15" hidden="false" customHeight="false" outlineLevel="0" collapsed="false">
      <c r="A14" s="7" t="str">
        <f aca="false">A6</f>
        <v>Option 2 – [lease equipment instead]</v>
      </c>
      <c r="B14" s="44" t="n">
        <f aca="false">IF(COUNT($C6:$M6)&gt;1,SUMPRODUCT($C6:$M6/(1+$B6)^YrRow),"")</f>
        <v>499516.520598878</v>
      </c>
      <c r="C14" s="64" t="n">
        <f aca="false">IF(COUNT($C6:$M6)&gt;1,IFERROR(IRR($C6:$M6,0.1),"n/a"),"")</f>
        <v>0.342398475337929</v>
      </c>
      <c r="D14" s="64" t="n">
        <f aca="false">IF(COUNT($C6:$M6)&gt;1,IFERROR(MIRR($C6:$M6,$B6,Reinv),"n/a"),"")</f>
        <v>0.204037123827747</v>
      </c>
      <c r="E14" s="65" t="n">
        <f aca="false">IF(COUNT($C6:$M6)&gt;1,IFERROR(1+B14/-SUMPRODUCT(($C6:$M6&lt;0)*$C6:$M6/(1+$B6)^YrRow),""),"")</f>
        <v>2.2487913014972</v>
      </c>
      <c r="F14" s="66" t="n">
        <f aca="false">IF(NOT(COUNT($C6:$M6)&gt;1),"",IF(MAX(C26:M26)&lt;0,"Beyond period",COUNTIF(C26:M26,"&lt;0")))</f>
        <v>4</v>
      </c>
      <c r="G14" s="67" t="n">
        <f aca="false">IF(ISNUMBER(B14),RANK(B14,$B$13:$B$17),"")</f>
        <v>2</v>
      </c>
    </row>
    <row r="15" customFormat="false" ht="15" hidden="false" customHeight="false" outlineLevel="0" collapsed="false">
      <c r="A15" s="7" t="str">
        <f aca="false">A7</f>
        <v>Option 3 – [smaller plant]</v>
      </c>
      <c r="B15" s="44" t="n">
        <f aca="false">IF(COUNT($C7:$M7)&gt;1,SUMPRODUCT($C7:$M7/(1+$B7)^YrRow),"")</f>
        <v>354260.269855378</v>
      </c>
      <c r="C15" s="64" t="n">
        <f aca="false">IF(COUNT($C7:$M7)&gt;1,IFERROR(IRR($C7:$M7,0.1),"n/a"),"")</f>
        <v>0.231500671662956</v>
      </c>
      <c r="D15" s="64" t="n">
        <f aca="false">IF(COUNT($C7:$M7)&gt;1,IFERROR(MIRR($C7:$M7,$B7,Reinv),"n/a"),"")</f>
        <v>0.163315992729687</v>
      </c>
      <c r="E15" s="65" t="n">
        <f aca="false">IF(COUNT($C7:$M7)&gt;1,IFERROR(1+B15/-SUMPRODUCT(($C7:$M7&lt;0)*$C7:$M7/(1+$B7)^YrRow),""),"")</f>
        <v>1.5904337830923</v>
      </c>
      <c r="F15" s="66" t="n">
        <f aca="false">IF(NOT(COUNT($C7:$M7)&gt;1),"",IF(MAX(C27:M27)&lt;0,"Beyond period",COUNTIF(C27:M27,"&lt;0")))</f>
        <v>5</v>
      </c>
      <c r="G15" s="67" t="n">
        <f aca="false">IF(ISNUMBER(B15),RANK(B15,$B$13:$B$17),"")</f>
        <v>3</v>
      </c>
    </row>
    <row r="16" customFormat="false" ht="15" hidden="false" customHeight="false" outlineLevel="0" collapsed="false">
      <c r="A16" s="7" t="str">
        <f aca="false">A8</f>
        <v>Option 4 – [name]</v>
      </c>
      <c r="B16" s="44" t="str">
        <f aca="false">IF(COUNT($C8:$M8)&gt;1,SUMPRODUCT($C8:$M8/(1+$B8)^YrRow),"")</f>
        <v/>
      </c>
      <c r="C16" s="64" t="str">
        <f aca="false">IF(COUNT($C8:$M8)&gt;1,IFERROR(IRR($C8:$M8,0.1),"n/a"),"")</f>
        <v/>
      </c>
      <c r="D16" s="64" t="str">
        <f aca="false">IF(COUNT($C8:$M8)&gt;1,IFERROR(MIRR($C8:$M8,$B8,Reinv),"n/a"),"")</f>
        <v/>
      </c>
      <c r="E16" s="65" t="str">
        <f aca="false">IF(COUNT($C8:$M8)&gt;1,IFERROR(1+B16/-SUMPRODUCT(($C8:$M8&lt;0)*$C8:$M8/(1+$B8)^YrRow),""),"")</f>
        <v/>
      </c>
      <c r="F16" s="66" t="str">
        <f aca="false">IF(NOT(COUNT($C8:$M8)&gt;1),"",IF(MAX(C28:M28)&lt;0,"Beyond period",COUNTIF(C28:M28,"&lt;0")))</f>
        <v/>
      </c>
      <c r="G16" s="67" t="str">
        <f aca="false">IF(ISNUMBER(B16),RANK(B16,$B$13:$B$17),"")</f>
        <v/>
      </c>
    </row>
    <row r="17" customFormat="false" ht="15" hidden="false" customHeight="false" outlineLevel="0" collapsed="false">
      <c r="A17" s="7" t="str">
        <f aca="false">A9</f>
        <v>Option 5 – [name]</v>
      </c>
      <c r="B17" s="44" t="str">
        <f aca="false">IF(COUNT($C9:$M9)&gt;1,SUMPRODUCT($C9:$M9/(1+$B9)^YrRow),"")</f>
        <v/>
      </c>
      <c r="C17" s="64" t="str">
        <f aca="false">IF(COUNT($C9:$M9)&gt;1,IFERROR(IRR($C9:$M9,0.1),"n/a"),"")</f>
        <v/>
      </c>
      <c r="D17" s="64" t="str">
        <f aca="false">IF(COUNT($C9:$M9)&gt;1,IFERROR(MIRR($C9:$M9,$B9,Reinv),"n/a"),"")</f>
        <v/>
      </c>
      <c r="E17" s="65" t="str">
        <f aca="false">IF(COUNT($C9:$M9)&gt;1,IFERROR(1+B17/-SUMPRODUCT(($C9:$M9&lt;0)*$C9:$M9/(1+$B9)^YrRow),""),"")</f>
        <v/>
      </c>
      <c r="F17" s="66" t="str">
        <f aca="false">IF(NOT(COUNT($C9:$M9)&gt;1),"",IF(MAX(C29:M29)&lt;0,"Beyond period",COUNTIF(C29:M29,"&lt;0")))</f>
        <v/>
      </c>
      <c r="G17" s="67" t="str">
        <f aca="false">IF(ISNUMBER(B17),RANK(B17,$B$13:$B$17),"")</f>
        <v/>
      </c>
    </row>
    <row r="19" customFormat="false" ht="15" hidden="false" customHeight="false" outlineLevel="0" collapsed="false">
      <c r="A19" s="55" t="s">
        <v>190</v>
      </c>
    </row>
    <row r="24" customFormat="false" ht="15" hidden="false" customHeight="false" outlineLevel="0" collapsed="false">
      <c r="A24" s="57" t="s">
        <v>191</v>
      </c>
    </row>
    <row r="25" customFormat="false" ht="15" hidden="false" customHeight="false" outlineLevel="0" collapsed="false">
      <c r="C25" s="60" t="n">
        <f aca="false">N(C5)</f>
        <v>-900000</v>
      </c>
      <c r="D25" s="60" t="n">
        <f aca="false">C25+N(D5)</f>
        <v>-942250</v>
      </c>
      <c r="E25" s="60" t="n">
        <f aca="false">D25+N(E5)</f>
        <v>-752758.6</v>
      </c>
      <c r="F25" s="60" t="n">
        <f aca="false">E25+N(F5)</f>
        <v>-472185.1292</v>
      </c>
      <c r="G25" s="60" t="n">
        <f aca="false">F25+N(G5)</f>
        <v>-147740.33317904</v>
      </c>
      <c r="H25" s="60" t="n">
        <f aca="false">G25+N(H5)</f>
        <v>206733.248393613</v>
      </c>
      <c r="I25" s="60" t="n">
        <f aca="false">H25+N(I5)</f>
        <v>593626.904531488</v>
      </c>
      <c r="J25" s="60" t="n">
        <f aca="false">I25+N(J5)</f>
        <v>1015509.78121035</v>
      </c>
      <c r="K25" s="60" t="n">
        <f aca="false">J25+N(K5)</f>
        <v>1475141.77269943</v>
      </c>
      <c r="L25" s="60" t="n">
        <f aca="false">K25+N(L5)</f>
        <v>1975487.33759294</v>
      </c>
      <c r="M25" s="60" t="n">
        <f aca="false">L25+N(M5)</f>
        <v>2855440.21409308</v>
      </c>
    </row>
    <row r="26" customFormat="false" ht="15" hidden="false" customHeight="false" outlineLevel="0" collapsed="false">
      <c r="C26" s="60" t="n">
        <f aca="false">N(C6)</f>
        <v>-400000</v>
      </c>
      <c r="D26" s="60" t="n">
        <f aca="false">C26+N(D6)</f>
        <v>-310000</v>
      </c>
      <c r="E26" s="60" t="n">
        <f aca="false">D26+N(E6)</f>
        <v>-170000</v>
      </c>
      <c r="F26" s="60" t="n">
        <f aca="false">E26+N(F6)</f>
        <v>-10000</v>
      </c>
      <c r="G26" s="60" t="n">
        <f aca="false">F26+N(G6)</f>
        <v>160000</v>
      </c>
      <c r="H26" s="60" t="n">
        <f aca="false">G26+N(H6)</f>
        <v>335000</v>
      </c>
      <c r="I26" s="60" t="n">
        <f aca="false">H26+N(I6)</f>
        <v>515000</v>
      </c>
      <c r="J26" s="60" t="n">
        <f aca="false">I26+N(J6)</f>
        <v>700000</v>
      </c>
      <c r="K26" s="60" t="n">
        <f aca="false">J26+N(K6)</f>
        <v>890000</v>
      </c>
      <c r="L26" s="60" t="n">
        <f aca="false">K26+N(L6)</f>
        <v>1085000</v>
      </c>
      <c r="M26" s="60" t="n">
        <f aca="false">L26+N(M6)</f>
        <v>1285000</v>
      </c>
    </row>
    <row r="27" customFormat="false" ht="15" hidden="false" customHeight="false" outlineLevel="0" collapsed="false">
      <c r="C27" s="60" t="n">
        <f aca="false">N(C7)</f>
        <v>-600000</v>
      </c>
      <c r="D27" s="60" t="n">
        <f aca="false">C27+N(D7)</f>
        <v>-520000</v>
      </c>
      <c r="E27" s="60" t="n">
        <f aca="false">D27+N(E7)</f>
        <v>-370000</v>
      </c>
      <c r="F27" s="60" t="n">
        <f aca="false">E27+N(F7)</f>
        <v>-200000</v>
      </c>
      <c r="G27" s="60" t="n">
        <f aca="false">F27+N(G7)</f>
        <v>-20000</v>
      </c>
      <c r="H27" s="60" t="n">
        <f aca="false">G27+N(H7)</f>
        <v>165000</v>
      </c>
      <c r="I27" s="60" t="n">
        <f aca="false">H27+N(I7)</f>
        <v>355000</v>
      </c>
      <c r="J27" s="60" t="n">
        <f aca="false">I27+N(J7)</f>
        <v>550000</v>
      </c>
      <c r="K27" s="60" t="n">
        <f aca="false">J27+N(K7)</f>
        <v>750000</v>
      </c>
      <c r="L27" s="60" t="n">
        <f aca="false">K27+N(L7)</f>
        <v>955000</v>
      </c>
      <c r="M27" s="60" t="n">
        <f aca="false">L27+N(M7)</f>
        <v>1215000</v>
      </c>
    </row>
    <row r="28" customFormat="false" ht="15" hidden="false" customHeight="false" outlineLevel="0" collapsed="false">
      <c r="C28" s="60" t="n">
        <f aca="false">N(C8)</f>
        <v>0</v>
      </c>
      <c r="D28" s="60" t="n">
        <f aca="false">C28+N(D8)</f>
        <v>0</v>
      </c>
      <c r="E28" s="60" t="n">
        <f aca="false">D28+N(E8)</f>
        <v>0</v>
      </c>
      <c r="F28" s="60" t="n">
        <f aca="false">E28+N(F8)</f>
        <v>0</v>
      </c>
      <c r="G28" s="60" t="n">
        <f aca="false">F28+N(G8)</f>
        <v>0</v>
      </c>
      <c r="H28" s="60" t="n">
        <f aca="false">G28+N(H8)</f>
        <v>0</v>
      </c>
      <c r="I28" s="60" t="n">
        <f aca="false">H28+N(I8)</f>
        <v>0</v>
      </c>
      <c r="J28" s="60" t="n">
        <f aca="false">I28+N(J8)</f>
        <v>0</v>
      </c>
      <c r="K28" s="60" t="n">
        <f aca="false">J28+N(K8)</f>
        <v>0</v>
      </c>
      <c r="L28" s="60" t="n">
        <f aca="false">K28+N(L8)</f>
        <v>0</v>
      </c>
      <c r="M28" s="60" t="n">
        <f aca="false">L28+N(M8)</f>
        <v>0</v>
      </c>
    </row>
    <row r="29" customFormat="false" ht="15" hidden="false" customHeight="false" outlineLevel="0" collapsed="false">
      <c r="C29" s="60" t="n">
        <f aca="false">N(C9)</f>
        <v>0</v>
      </c>
      <c r="D29" s="60" t="n">
        <f aca="false">C29+N(D9)</f>
        <v>0</v>
      </c>
      <c r="E29" s="60" t="n">
        <f aca="false">D29+N(E9)</f>
        <v>0</v>
      </c>
      <c r="F29" s="60" t="n">
        <f aca="false">E29+N(F9)</f>
        <v>0</v>
      </c>
      <c r="G29" s="60" t="n">
        <f aca="false">F29+N(G9)</f>
        <v>0</v>
      </c>
      <c r="H29" s="60" t="n">
        <f aca="false">G29+N(H9)</f>
        <v>0</v>
      </c>
      <c r="I29" s="60" t="n">
        <f aca="false">H29+N(I9)</f>
        <v>0</v>
      </c>
      <c r="J29" s="60" t="n">
        <f aca="false">I29+N(J9)</f>
        <v>0</v>
      </c>
      <c r="K29" s="60" t="n">
        <f aca="false">J29+N(K9)</f>
        <v>0</v>
      </c>
      <c r="L29" s="60" t="n">
        <f aca="false">K29+N(L9)</f>
        <v>0</v>
      </c>
      <c r="M29" s="60" t="n">
        <f aca="false">L29+N(M9)</f>
        <v>0</v>
      </c>
    </row>
  </sheetData>
  <conditionalFormatting sqref="G13:G17">
    <cfRule type="cellIs" priority="2" operator="equal" aboveAverage="0" equalAverage="0" bottom="0" percent="0" rank="0" text="" dxfId="2">
      <formula>1</formula>
    </cfRule>
  </conditionalFormatting>
  <conditionalFormatting sqref="B13:B17">
    <cfRule type="cellIs" priority="3" operator="lessThan" aboveAverage="0" equalAverage="0" bottom="0" percent="0" rank="0" text="" dxfId="5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B1:N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20"/>
    <col collapsed="false" customWidth="true" hidden="false" outlineLevel="0" max="9" min="9" style="0" width="18"/>
    <col collapsed="false" customWidth="true" hidden="false" outlineLevel="0" max="10" min="10" style="0" width="3"/>
    <col collapsed="false" customWidth="true" hidden="false" outlineLevel="0" max="14" min="12" style="0" width="11"/>
  </cols>
  <sheetData>
    <row r="1" customFormat="false" ht="19.7" hidden="false" customHeight="false" outlineLevel="0" collapsed="false">
      <c r="B1" s="1" t="s">
        <v>192</v>
      </c>
      <c r="L1" s="57" t="s">
        <v>193</v>
      </c>
    </row>
    <row r="2" customFormat="false" ht="15" hidden="false" customHeight="false" outlineLevel="0" collapsed="false">
      <c r="B2" s="68" t="str">
        <f aca="false">ProjName</f>
        <v>[Example: Agro-processing plant expansion]</v>
      </c>
      <c r="L2" s="69" t="s">
        <v>79</v>
      </c>
      <c r="M2" s="69" t="s">
        <v>194</v>
      </c>
      <c r="N2" s="69" t="s">
        <v>195</v>
      </c>
    </row>
    <row r="3" customFormat="false" ht="15" hidden="false" customHeight="false" outlineLevel="0" collapsed="false">
      <c r="B3" s="70" t="str">
        <f aca="false">Cur&amp;", nominal   |   WACC "&amp;TEXT(WACC,"0.0%")&amp;"   |   "&amp;N&amp;" operating years from "&amp;(Year0+1)&amp;"   |   Total investment "&amp;TEXT(Capex0+Capex1,"#,##0")</f>
        <v>GHS, nominal   |   WACC 12.0%   |   10 operating years from 2028   |   Total investment 1,000,000</v>
      </c>
      <c r="L3" s="71" t="n">
        <f aca="false">'Cash Flow Model'!C5</f>
        <v>2027</v>
      </c>
      <c r="M3" s="72" t="n">
        <f aca="false">'Cash Flow Model'!C28</f>
        <v>-900000</v>
      </c>
      <c r="N3" s="72" t="n">
        <f aca="false">'Cash Flow Model'!C32</f>
        <v>-900000</v>
      </c>
    </row>
    <row r="4" customFormat="false" ht="15" hidden="false" customHeight="false" outlineLevel="0" collapsed="false">
      <c r="L4" s="71" t="n">
        <f aca="false">'Cash Flow Model'!D5</f>
        <v>2028</v>
      </c>
      <c r="M4" s="72" t="n">
        <f aca="false">'Cash Flow Model'!D28</f>
        <v>-42250</v>
      </c>
      <c r="N4" s="72" t="n">
        <f aca="false">'Cash Flow Model'!D32</f>
        <v>-937723.214285714</v>
      </c>
    </row>
    <row r="5" customFormat="false" ht="15" hidden="false" customHeight="true" outlineLevel="0" collapsed="false">
      <c r="B5" s="73" t="s">
        <v>152</v>
      </c>
      <c r="C5" s="73"/>
      <c r="E5" s="73" t="s">
        <v>196</v>
      </c>
      <c r="F5" s="73"/>
      <c r="H5" s="73" t="s">
        <v>197</v>
      </c>
      <c r="I5" s="73"/>
      <c r="L5" s="71" t="n">
        <f aca="false">'Cash Flow Model'!E5</f>
        <v>2029</v>
      </c>
      <c r="M5" s="72" t="n">
        <f aca="false">'Cash Flow Model'!E28</f>
        <v>189491.4</v>
      </c>
      <c r="N5" s="72" t="n">
        <f aca="false">'Cash Flow Model'!E32</f>
        <v>-786661.830357143</v>
      </c>
    </row>
    <row r="6" customFormat="false" ht="33.75" hidden="false" customHeight="true" outlineLevel="0" collapsed="false">
      <c r="B6" s="74" t="n">
        <f aca="false">NPVv</f>
        <v>856612.497131708</v>
      </c>
      <c r="C6" s="74"/>
      <c r="E6" s="75" t="n">
        <f aca="false">IRRv</f>
        <v>0.252157842754007</v>
      </c>
      <c r="F6" s="75"/>
      <c r="H6" s="75" t="n">
        <f aca="false">MIRRv</f>
        <v>0.187139904834994</v>
      </c>
      <c r="I6" s="75"/>
      <c r="L6" s="71" t="n">
        <f aca="false">'Cash Flow Model'!F5</f>
        <v>2030</v>
      </c>
      <c r="M6" s="72" t="n">
        <f aca="false">'Cash Flow Model'!F28</f>
        <v>280573.4708</v>
      </c>
      <c r="N6" s="72" t="n">
        <f aca="false">'Cash Flow Model'!F32</f>
        <v>-586955.17578125</v>
      </c>
    </row>
    <row r="7" customFormat="false" ht="15" hidden="false" customHeight="false" outlineLevel="0" collapsed="false">
      <c r="L7" s="71" t="n">
        <f aca="false">'Cash Flow Model'!G5</f>
        <v>2031</v>
      </c>
      <c r="M7" s="72" t="n">
        <f aca="false">'Cash Flow Model'!G28</f>
        <v>324444.79602096</v>
      </c>
      <c r="N7" s="72" t="n">
        <f aca="false">'Cash Flow Model'!G32</f>
        <v>-380764.642465562</v>
      </c>
    </row>
    <row r="8" customFormat="false" ht="15" hidden="false" customHeight="true" outlineLevel="0" collapsed="false">
      <c r="B8" s="73" t="s">
        <v>198</v>
      </c>
      <c r="C8" s="73"/>
      <c r="E8" s="73" t="s">
        <v>199</v>
      </c>
      <c r="F8" s="73"/>
      <c r="H8" s="73" t="s">
        <v>143</v>
      </c>
      <c r="I8" s="73"/>
      <c r="L8" s="71" t="n">
        <f aca="false">'Cash Flow Model'!H5</f>
        <v>2032</v>
      </c>
      <c r="M8" s="72" t="n">
        <f aca="false">'Cash Flow Model'!H28</f>
        <v>354473.581572653</v>
      </c>
      <c r="N8" s="72" t="n">
        <f aca="false">'Cash Flow Model'!H32</f>
        <v>-179626.812638481</v>
      </c>
    </row>
    <row r="9" customFormat="false" ht="33.75" hidden="false" customHeight="true" outlineLevel="0" collapsed="false">
      <c r="B9" s="76" t="n">
        <f aca="false">PIv</f>
        <v>1.86588988879739</v>
      </c>
      <c r="C9" s="76"/>
      <c r="E9" s="77" t="n">
        <f aca="false">DPB</f>
        <v>5.9164055084087</v>
      </c>
      <c r="F9" s="77"/>
      <c r="H9" s="75" t="n">
        <f aca="false">EqIRR</f>
        <v>0.289679664133654</v>
      </c>
      <c r="I9" s="75"/>
      <c r="L9" s="71" t="n">
        <f aca="false">'Cash Flow Model'!I5</f>
        <v>2033</v>
      </c>
      <c r="M9" s="72" t="n">
        <f aca="false">'Cash Flow Model'!I28</f>
        <v>386893.656137875</v>
      </c>
      <c r="N9" s="72" t="n">
        <f aca="false">'Cash Flow Model'!I32</f>
        <v>16385.5541470431</v>
      </c>
    </row>
    <row r="10" customFormat="false" ht="15" hidden="false" customHeight="false" outlineLevel="0" collapsed="false">
      <c r="L10" s="71" t="n">
        <f aca="false">'Cash Flow Model'!J5</f>
        <v>2034</v>
      </c>
      <c r="M10" s="72" t="n">
        <f aca="false">'Cash Flow Model'!J28</f>
        <v>421882.87667886</v>
      </c>
      <c r="N10" s="72" t="n">
        <f aca="false">'Cash Flow Model'!J32</f>
        <v>207223.942376797</v>
      </c>
    </row>
    <row r="11" customFormat="false" ht="15" hidden="false" customHeight="true" outlineLevel="0" collapsed="false">
      <c r="B11" s="73" t="s">
        <v>200</v>
      </c>
      <c r="C11" s="73"/>
      <c r="E11" s="73" t="s">
        <v>145</v>
      </c>
      <c r="F11" s="73"/>
      <c r="H11" s="73" t="s">
        <v>201</v>
      </c>
      <c r="I11" s="73"/>
      <c r="L11" s="71" t="n">
        <f aca="false">'Cash Flow Model'!K5</f>
        <v>2035</v>
      </c>
      <c r="M11" s="72" t="n">
        <f aca="false">'Cash Flow Model'!K28</f>
        <v>459631.991489081</v>
      </c>
      <c r="N11" s="72" t="n">
        <f aca="false">'Cash Flow Model'!K32</f>
        <v>392861.594781993</v>
      </c>
    </row>
    <row r="12" customFormat="false" ht="33.75" hidden="false" customHeight="true" outlineLevel="0" collapsed="false">
      <c r="B12" s="74" t="n">
        <f aca="false">EqNPV</f>
        <v>562296.744659399</v>
      </c>
      <c r="C12" s="74"/>
      <c r="E12" s="78" t="n">
        <f aca="false">MinDSCR</f>
        <v>1.09644023442917</v>
      </c>
      <c r="F12" s="78"/>
      <c r="H12" s="77" t="n">
        <f aca="false">PB</f>
        <v>4.41678799453425</v>
      </c>
      <c r="I12" s="77"/>
      <c r="L12" s="71" t="n">
        <f aca="false">'Cash Flow Model'!L5</f>
        <v>2036</v>
      </c>
      <c r="M12" s="72" t="n">
        <f aca="false">'Cash Flow Model'!L28</f>
        <v>500345.564893511</v>
      </c>
      <c r="N12" s="72" t="n">
        <f aca="false">'Cash Flow Model'!L32</f>
        <v>573291.221437664</v>
      </c>
    </row>
    <row r="13" customFormat="false" ht="15" hidden="false" customHeight="false" outlineLevel="0" collapsed="false">
      <c r="L13" s="71" t="n">
        <f aca="false">'Cash Flow Model'!M5</f>
        <v>2037</v>
      </c>
      <c r="M13" s="72" t="n">
        <f aca="false">'Cash Flow Model'!M28</f>
        <v>879952.876500144</v>
      </c>
      <c r="N13" s="72" t="n">
        <f aca="false">'Cash Flow Model'!M32</f>
        <v>856612.497131708</v>
      </c>
    </row>
    <row r="14" customFormat="false" ht="27.75" hidden="false" customHeight="true" outlineLevel="0" collapsed="false">
      <c r="B14" s="79" t="str">
        <f aca="false">Decision</f>
        <v>Financially viable – invest</v>
      </c>
      <c r="C14" s="79"/>
      <c r="D14" s="79"/>
      <c r="E14" s="79"/>
      <c r="F14" s="79"/>
      <c r="G14" s="79"/>
      <c r="H14" s="79"/>
      <c r="I14" s="79"/>
    </row>
  </sheetData>
  <mergeCells count="19">
    <mergeCell ref="B5:C5"/>
    <mergeCell ref="E5:F5"/>
    <mergeCell ref="H5:I5"/>
    <mergeCell ref="B6:C6"/>
    <mergeCell ref="E6:F6"/>
    <mergeCell ref="H6:I6"/>
    <mergeCell ref="B8:C8"/>
    <mergeCell ref="E8:F8"/>
    <mergeCell ref="H8:I8"/>
    <mergeCell ref="B9:C9"/>
    <mergeCell ref="E9:F9"/>
    <mergeCell ref="H9:I9"/>
    <mergeCell ref="B11:C11"/>
    <mergeCell ref="E11:F11"/>
    <mergeCell ref="H11:I11"/>
    <mergeCell ref="B12:C12"/>
    <mergeCell ref="E12:F12"/>
    <mergeCell ref="H12:I12"/>
    <mergeCell ref="B14:I14"/>
  </mergeCells>
  <conditionalFormatting sqref="B14">
    <cfRule type="expression" priority="2" aboveAverage="0" equalAverage="0" bottom="0" percent="0" rank="0" text="" dxfId="8">
      <formula>LEFT($B$14,3)="Fin"</formula>
    </cfRule>
    <cfRule type="expression" priority="3" aboveAverage="0" equalAverage="0" bottom="0" percent="0" rank="0" text="" dxfId="9">
      <formula>LEFT($B$14,3)="Mar"</formula>
    </cfRule>
    <cfRule type="expression" priority="4" aboveAverage="0" equalAverage="0" bottom="0" percent="0" rank="0" text="" dxfId="10">
      <formula>LEFT($B$14,3)="Not"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2026-10-29T15:04:45Z</dcterms:created>
  <dc:creator>openpyxl</dc:creator>
  <dc:description/>
  <dc:language>en-US</dc:language>
  <cp:lastModifiedBy/>
  <dcterms:modified xsi:type="dcterms:W3CDTF">2026-10-29T15:04:47Z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