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Instructions" sheetId="1" state="visible" r:id="rId3"/>
    <sheet name="Inputs" sheetId="2" state="visible" r:id="rId4"/>
    <sheet name="Costs" sheetId="3" state="visible" r:id="rId5"/>
    <sheet name="Benefits" sheetId="4" state="visible" r:id="rId6"/>
    <sheet name="Results" sheetId="5" state="visible" r:id="rId7"/>
    <sheet name="Sensitivity" sheetId="6" state="visible" r:id="rId8"/>
    <sheet name="Summary" sheetId="7" state="visible" r:id="rId9"/>
  </sheets>
  <definedNames>
    <definedName function="false" hidden="false" name="Analyst" vbProcedure="false">Inputs!$B$6</definedName>
    <definedName function="false" hidden="false" name="BCR" vbProcedure="false">Results!$G$31</definedName>
    <definedName function="false" hidden="false" name="BenRow" vbProcedure="false">Results!$G$11:$AA$11</definedName>
    <definedName function="false" hidden="false" name="CostRow" vbProcedure="false">Results!$G$12:$AA$12</definedName>
    <definedName function="false" hidden="false" name="Currency" vbProcedure="false">Inputs!$B$7</definedName>
    <definedName function="false" hidden="false" name="Decision" vbProcedure="false">Results!$G$36</definedName>
    <definedName function="false" hidden="false" name="DPayback" vbProcedure="false">Results!$G$34</definedName>
    <definedName function="false" hidden="false" name="EANB" vbProcedure="false">Results!$G$35</definedName>
    <definedName function="false" hidden="false" name="IRRv" vbProcedure="false">Results!$G$32</definedName>
    <definedName function="false" hidden="false" name="L_BCat" vbProcedure="false">Inputs!$B$19:$B$26</definedName>
    <definedName function="false" hidden="false" name="L_CCat" vbProcedure="false">Inputs!$A$19:$A$26</definedName>
    <definedName function="false" hidden="false" name="MaskRow" vbProcedure="false">Results!$G$7:$AA$7</definedName>
    <definedName function="false" hidden="false" name="NPV" vbProcedure="false">Results!$G$30</definedName>
    <definedName function="false" hidden="false" name="Payback" vbProcedure="false">Results!$G$33</definedName>
    <definedName function="false" hidden="false" name="Period" vbProcedure="false">Inputs!$B$9</definedName>
    <definedName function="false" hidden="false" name="ProjName" vbProcedure="false">Inputs!$B$5</definedName>
    <definedName function="false" hidden="false" name="PVB" vbProcedure="false">Results!$G$28</definedName>
    <definedName function="false" hidden="false" name="PVC" vbProcedure="false">Results!$G$29</definedName>
    <definedName function="false" hidden="false" name="Rate" vbProcedure="false">Inputs!$B$10</definedName>
    <definedName function="false" hidden="false" name="RateHigh" vbProcedure="false">Inputs!$B$14</definedName>
    <definedName function="false" hidden="false" name="RateLow" vbProcedure="false">Inputs!$B$13</definedName>
    <definedName function="false" hidden="false" name="Residual" vbProcedure="false">Inputs!$B$11</definedName>
    <definedName function="false" hidden="false" name="Step" vbProcedure="false">Inputs!$B$12</definedName>
    <definedName function="false" hidden="false" name="Year0" vbProcedure="false">Inputs!$B$8</definedName>
    <definedName function="false" hidden="false" name="YrRow" vbProcedure="false">Results!$G$5:$AA$5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0" authorId="0">
      <text>
        <r>
          <rPr>
            <sz val="10"/>
            <rFont val="Arial"/>
            <family val="2"/>
          </rPr>
          <t xml:space="preserve">Example value only. Replace with the discount rate required by your organisation or funder, and cite the source in column C.</t>
        </r>
      </text>
    </comment>
    <comment ref="B11" authorId="0">
      <text>
        <r>
          <rPr>
            <sz val="10"/>
            <rFont val="Arial"/>
            <family val="2"/>
          </rPr>
          <t xml:space="preserve">Example value only – estimate from asset register or engineering advice.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48" authorId="0">
      <text>
        <r>
          <rPr>
            <sz val="10"/>
            <rFont val="Arial"/>
            <family val="2"/>
          </rPr>
          <t xml:space="preserve">Undiscounted total over all 21 year columns (Results applies the analysis period).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48" authorId="0">
      <text>
        <r>
          <rPr>
            <sz val="10"/>
            <rFont val="Arial"/>
            <family val="2"/>
          </rPr>
          <t xml:space="preserve">Undiscounted total over all 21 year columns (Results applies the analysis period).</t>
        </r>
      </text>
    </comment>
  </commentList>
</comments>
</file>

<file path=xl/sharedStrings.xml><?xml version="1.0" encoding="utf-8"?>
<sst xmlns="http://schemas.openxmlformats.org/spreadsheetml/2006/main" count="243" uniqueCount="187">
  <si>
    <t xml:space="preserve">COST-BENEFIT ANALYSIS CALCULATOR</t>
  </si>
  <si>
    <t xml:space="preserve">Calculates NPV, benefit-cost ratio, IRR, payback, sensitivity and switching values for a project or option.</t>
  </si>
  <si>
    <t xml:space="preserve">1. Inputs</t>
  </si>
  <si>
    <t xml:space="preserve">Enter the project name, currency, Year 0, analysis period (max 20 years), discount rate and residual value. Yellow cells are key assumptions – document the source of each.</t>
  </si>
  <si>
    <t xml:space="preserve">2. Costs</t>
  </si>
  <si>
    <t xml:space="preserve">Section A: recurring costs (annual amount, start and end year, real escalation). Section B: one-off or irregular costs typed directly under each year (e.g. construction in Years 0–1, replacements).</t>
  </si>
  <si>
    <t xml:space="preserve">3. Benefits</t>
  </si>
  <si>
    <t xml:space="preserve">Same structure as Costs. Express all benefits in money terms (revenue, savings, valued time or health gains).</t>
  </si>
  <si>
    <t xml:space="preserve">4. Results</t>
  </si>
  <si>
    <t xml:space="preserve">Shows the discounted cash flow by year and the key indicators: PV of benefits and costs, NPV, BCR, IRR, simple and discounted payback, and the decision rule.</t>
  </si>
  <si>
    <t xml:space="preserve">5. Sensitivity</t>
  </si>
  <si>
    <t xml:space="preserve">Tests how results change if costs, benefits or the discount rate change; shows switching values and an NPV profile. Edit the custom scenario as needed.</t>
  </si>
  <si>
    <t xml:space="preserve">6. Summary</t>
  </si>
  <si>
    <t xml:space="preserve">One-page overview with key indicators, decision, robustness checks and charts – ready to paste into reports.</t>
  </si>
  <si>
    <t xml:space="preserve">Decision rules</t>
  </si>
  <si>
    <t xml:space="preserve">Accept if NPV &gt; 0 and BCR &gt; 1 (IRR above the discount rate). When comparing options, prefer the one with the highest NPV.</t>
  </si>
  <si>
    <t xml:space="preserve">Example data</t>
  </si>
  <si>
    <t xml:space="preserve">The water-supply example figures are illustrative only. Replace them with your project data.</t>
  </si>
  <si>
    <t xml:space="preserve">Colour key</t>
  </si>
  <si>
    <t xml:space="preserve">Blue text</t>
  </si>
  <si>
    <t xml:space="preserve">Inputs you can change.</t>
  </si>
  <si>
    <t xml:space="preserve">Black text</t>
  </si>
  <si>
    <t xml:space="preserve">Calculations – do not overwrite.</t>
  </si>
  <si>
    <t xml:space="preserve">Green text</t>
  </si>
  <si>
    <t xml:space="preserve">Links pulled from another sheet.</t>
  </si>
  <si>
    <t xml:space="preserve">Yellow fill</t>
  </si>
  <si>
    <t xml:space="preserve">Key assumptions and headline results.</t>
  </si>
  <si>
    <t xml:space="preserve">Conventions</t>
  </si>
  <si>
    <t xml:space="preserve">Constant (real) prices with a real discount rate; end-of-year discounting with Year 0 undiscounted; flows after the analysis period are excluded.</t>
  </si>
  <si>
    <t xml:space="preserve">INPUTS AND ASSUMPTIONS</t>
  </si>
  <si>
    <t xml:space="preserve">Blue = input. Yellow fill = key assumptions that drive the results. All amounts in constant (real) prices unless stated.</t>
  </si>
  <si>
    <t xml:space="preserve">Assumption</t>
  </si>
  <si>
    <t xml:space="preserve">Value</t>
  </si>
  <si>
    <t xml:space="preserve">Notes / source</t>
  </si>
  <si>
    <t xml:space="preserve">Project / option name</t>
  </si>
  <si>
    <t xml:space="preserve">[Community Water Supply Scheme – Option A]</t>
  </si>
  <si>
    <t xml:space="preserve">Name shown on all outputs</t>
  </si>
  <si>
    <t xml:space="preserve">Analyst / prepared by</t>
  </si>
  <si>
    <t xml:space="preserve">[Name]</t>
  </si>
  <si>
    <t xml:space="preserve">Currency</t>
  </si>
  <si>
    <t xml:space="preserve">GHS</t>
  </si>
  <si>
    <t xml:space="preserve">All amounts in this currency</t>
  </si>
  <si>
    <t xml:space="preserve">First year of analysis (Year 0)</t>
  </si>
  <si>
    <t xml:space="preserve">Calendar year of Year 0 – usually the year of initial investment</t>
  </si>
  <si>
    <t xml:space="preserve">Analysis period (years after Year 0)</t>
  </si>
  <si>
    <t xml:space="preserve">Maximum 20 years; typically the economic life of the main assets</t>
  </si>
  <si>
    <t xml:space="preserve">Discount rate (real, % per year)</t>
  </si>
  <si>
    <t xml:space="preserve">Use the official / social discount rate required by your organisation, government or funder</t>
  </si>
  <si>
    <t xml:space="preserve">Residual value at end of period</t>
  </si>
  <si>
    <t xml:space="preserve">Remaining value of assets at the end of the analysis period (added as a benefit in the final year)</t>
  </si>
  <si>
    <t xml:space="preserve">Sensitivity step (±%)</t>
  </si>
  <si>
    <t xml:space="preserve">Used for the standard cost and benefit sensitivity scenarios</t>
  </si>
  <si>
    <t xml:space="preserve">Alternative discount rate – low</t>
  </si>
  <si>
    <t xml:space="preserve">For sensitivity testing</t>
  </si>
  <si>
    <t xml:space="preserve">Alternative discount rate – high</t>
  </si>
  <si>
    <t xml:space="preserve">Cost and benefit categories (for drop-downs)</t>
  </si>
  <si>
    <t xml:space="preserve">Cost categories</t>
  </si>
  <si>
    <t xml:space="preserve">Benefit categories</t>
  </si>
  <si>
    <t xml:space="preserve">Capital / investment</t>
  </si>
  <si>
    <t xml:space="preserve">Revenue / income</t>
  </si>
  <si>
    <t xml:space="preserve">Operating</t>
  </si>
  <si>
    <t xml:space="preserve">Cost savings</t>
  </si>
  <si>
    <t xml:space="preserve">Maintenance</t>
  </si>
  <si>
    <t xml:space="preserve">Time savings</t>
  </si>
  <si>
    <t xml:space="preserve">Staff / personnel</t>
  </si>
  <si>
    <t xml:space="preserve">Health benefits</t>
  </si>
  <si>
    <t xml:space="preserve">Social / environmental cost</t>
  </si>
  <si>
    <t xml:space="preserve">Environmental benefits</t>
  </si>
  <si>
    <t xml:space="preserve">Other</t>
  </si>
  <si>
    <t xml:space="preserve">COSTS SCHEDULE</t>
  </si>
  <si>
    <t xml:space="preserve">Section A: recurring items – enter annual amount, start/end year and real escalation (blue); yearly values calculate. Section B: one-off or irregular items – type amounts directly under each year.</t>
  </si>
  <si>
    <t xml:space="preserve">Item</t>
  </si>
  <si>
    <t xml:space="preserve">Category</t>
  </si>
  <si>
    <t xml:space="preserve">Annual amount</t>
  </si>
  <si>
    <t xml:space="preserve">Start year</t>
  </si>
  <si>
    <t xml:space="preserve">End year</t>
  </si>
  <si>
    <t xml:space="preserve">Escalation % p.a. (real)</t>
  </si>
  <si>
    <t xml:space="preserve">Year 0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</si>
  <si>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</si>
  <si>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</si>
  <si>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</si>
  <si>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</si>
  <si>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</si>
  <si>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Year 6</t>
  </si>
  <si>
    <t xml:space="preserve">Year 7</t>
  </si>
  <si>
    <t xml:space="preserve">Year 8</t>
  </si>
  <si>
    <t xml:space="preserve">Year 9</t>
  </si>
  <si>
    <t xml:space="preserve">Year 10</t>
  </si>
  <si>
    <t xml:space="preserve">Year 11</t>
  </si>
  <si>
    <t xml:space="preserve">Year 12</t>
  </si>
  <si>
    <t xml:space="preserve">Year 13</t>
  </si>
  <si>
    <t xml:space="preserve">Year 14</t>
  </si>
  <si>
    <t xml:space="preserve">Year 15</t>
  </si>
  <si>
    <t xml:space="preserve">Year 16</t>
  </si>
  <si>
    <t xml:space="preserve">Year 17</t>
  </si>
  <si>
    <t xml:space="preserve">Year 18</t>
  </si>
  <si>
    <t xml:space="preserve">Year 19</t>
  </si>
  <si>
    <t xml:space="preserve">Year 20</t>
  </si>
  <si>
    <t xml:space="preserve">Calendar year →</t>
  </si>
  <si>
    <t xml:space="preserve">A. Recurring items</t>
  </si>
  <si>
    <t xml:space="preserve">Operation and staff costs</t>
  </si>
  <si>
    <t xml:space="preserve">Maintenance and repairs</t>
  </si>
  <si>
    <t xml:space="preserve">Water treatment chemicals and energy</t>
  </si>
  <si>
    <t xml:space="preserve">Monitoring and evaluation</t>
  </si>
  <si>
    <t xml:space="preserve">Subtotal A</t>
  </si>
  <si>
    <t xml:space="preserve">B. One-off / irregular items (enter amounts under each year)</t>
  </si>
  <si>
    <t xml:space="preserve">Construction of intake, tank and pipeline</t>
  </si>
  <si>
    <t xml:space="preserve">Design, supervision and permits</t>
  </si>
  <si>
    <t xml:space="preserve">Pump and equipment replacement</t>
  </si>
  <si>
    <t xml:space="preserve">Community mobilisation and training</t>
  </si>
  <si>
    <t xml:space="preserve">Subtotal B</t>
  </si>
  <si>
    <t xml:space="preserve">TOTAL COSTS</t>
  </si>
  <si>
    <t xml:space="preserve">Costs by category (undiscounted, within analysis period)</t>
  </si>
  <si>
    <t xml:space="preserve">BENEFITS SCHEDULE</t>
  </si>
  <si>
    <t xml:space="preserve">Water user fees (revenue)</t>
  </si>
  <si>
    <t xml:space="preserve">Time saved collecting water (valued)</t>
  </si>
  <si>
    <t xml:space="preserve">Reduced household health costs</t>
  </si>
  <si>
    <t xml:space="preserve">Avoided costs of buying water</t>
  </si>
  <si>
    <t xml:space="preserve">Salvage of old equipment</t>
  </si>
  <si>
    <t xml:space="preserve">TOTAL BENEFITS</t>
  </si>
  <si>
    <t xml:space="preserve">Benefits by category (undiscounted, within analysis period)</t>
  </si>
  <si>
    <t xml:space="preserve">RESULTS – DISCOUNTED CASH FLOW</t>
  </si>
  <si>
    <t xml:space="preserve">Year</t>
  </si>
  <si>
    <t xml:space="preserve">Calendar year</t>
  </si>
  <si>
    <t xml:space="preserve">In analysis period (1 = yes)</t>
  </si>
  <si>
    <t xml:space="preserve">Benefits</t>
  </si>
  <si>
    <t xml:space="preserve">Residual value</t>
  </si>
  <si>
    <t xml:space="preserve">Total benefits</t>
  </si>
  <si>
    <t xml:space="preserve">Total costs</t>
  </si>
  <si>
    <t xml:space="preserve">Net benefit (benefits – costs)</t>
  </si>
  <si>
    <t xml:space="preserve">Cumulative net benefit</t>
  </si>
  <si>
    <t xml:space="preserve">Discount factor</t>
  </si>
  <si>
    <t xml:space="preserve">PV of benefits</t>
  </si>
  <si>
    <t xml:space="preserve">PV of costs</t>
  </si>
  <si>
    <t xml:space="preserve">PV of net benefit</t>
  </si>
  <si>
    <t xml:space="preserve">Cumulative PV of net benefit</t>
  </si>
  <si>
    <t xml:space="preserve">Payback flag (helper)</t>
  </si>
  <si>
    <t xml:space="preserve">Discounted payback flag (helper)</t>
  </si>
  <si>
    <t xml:space="preserve">KEY INDICATORS</t>
  </si>
  <si>
    <t xml:space="preserve">Indicator</t>
  </si>
  <si>
    <t xml:space="preserve">Present value of benefits (PVB)</t>
  </si>
  <si>
    <t xml:space="preserve">Present value of costs (PVC)</t>
  </si>
  <si>
    <t xml:space="preserve">Net present value (NPV = PVB – PVC)</t>
  </si>
  <si>
    <t xml:space="preserve">Benefit-cost ratio (BCR = PVB ÷ PVC)</t>
  </si>
  <si>
    <t xml:space="preserve">Internal rate of return (IRR)</t>
  </si>
  <si>
    <t xml:space="preserve">Simple payback (years from Year 0)</t>
  </si>
  <si>
    <t xml:space="preserve">Discounted payback (years from Year 0)</t>
  </si>
  <si>
    <t xml:space="preserve">Equivalent annual net benefit</t>
  </si>
  <si>
    <t xml:space="preserve">Decision (NPV &gt; 0 and BCR &gt; 1)</t>
  </si>
  <si>
    <t xml:space="preserve">Notes: Year 0 flows are not discounted (end-of-year convention). IRR uses the net benefit stream; 'n/a' means it cannot be calculated (e.g. no sign change). Equivalent annual net benefit spreads the NPV evenly over the period.</t>
  </si>
  <si>
    <t xml:space="preserve">SENSITIVITY AND SCENARIO ANALYSIS</t>
  </si>
  <si>
    <t xml:space="preserve">Scenarios change benefits, costs or the discount rate. Edit the multipliers (blue) to define your own scenarios.</t>
  </si>
  <si>
    <t xml:space="preserve">Scenario</t>
  </si>
  <si>
    <t xml:space="preserve">Benefits ×</t>
  </si>
  <si>
    <t xml:space="preserve">Costs ×</t>
  </si>
  <si>
    <t xml:space="preserve">Discount rate</t>
  </si>
  <si>
    <t xml:space="preserve">NPV</t>
  </si>
  <si>
    <t xml:space="preserve">BCR</t>
  </si>
  <si>
    <t xml:space="preserve">IRR</t>
  </si>
  <si>
    <t xml:space="preserve">Result</t>
  </si>
  <si>
    <t xml:space="preserve">Base case</t>
  </si>
  <si>
    <t xml:space="preserve">Costs higher (+ step)</t>
  </si>
  <si>
    <t xml:space="preserve">Costs lower (– step)</t>
  </si>
  <si>
    <t xml:space="preserve">Benefits lower (– step)</t>
  </si>
  <si>
    <t xml:space="preserve">Benefits higher (+ step)</t>
  </si>
  <si>
    <t xml:space="preserve">Worst case (costs +, benefits –)</t>
  </si>
  <si>
    <t xml:space="preserve">Low discount rate</t>
  </si>
  <si>
    <t xml:space="preserve">High discount rate</t>
  </si>
  <si>
    <t xml:space="preserve">[Custom scenario]</t>
  </si>
  <si>
    <t xml:space="preserve">Switching values</t>
  </si>
  <si>
    <t xml:space="preserve">Increase in costs that would make NPV = 0</t>
  </si>
  <si>
    <t xml:space="preserve">Decrease in benefits that would make NPV = 0</t>
  </si>
  <si>
    <t xml:space="preserve">Interpretation: the larger the switching value, the more robust the result. Values below about 10–20% suggest high risk.</t>
  </si>
  <si>
    <t xml:space="preserve">NPV at different discount rates</t>
  </si>
  <si>
    <t xml:space="preserve">Helper: net benefit streams for scenario IRR (do not edit)</t>
  </si>
  <si>
    <t xml:space="preserve">COST-BENEFIT ANALYSIS SUMMARY</t>
  </si>
  <si>
    <t xml:space="preserve">Chart data (linked from Results)</t>
  </si>
  <si>
    <t xml:space="preserve">Costs</t>
  </si>
  <si>
    <t xml:space="preserve">Cumulative PV net</t>
  </si>
  <si>
    <t xml:space="preserve">Net present value (NPV)</t>
  </si>
  <si>
    <t xml:space="preserve">Benefit-cost ratio (BCR)</t>
  </si>
  <si>
    <t xml:space="preserve">Discounted payback (years)</t>
  </si>
  <si>
    <t xml:space="preserve">Robustness</t>
  </si>
  <si>
    <t xml:space="preserve">Switching value – costs</t>
  </si>
  <si>
    <t xml:space="preserve">Switching value – benefits</t>
  </si>
  <si>
    <t xml:space="preserve">Worst-case NPV (costs +, benefits –)</t>
  </si>
  <si>
    <t xml:space="preserve">Scenarios with NPV &gt; 0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</si>
</sst>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"/>
    <numFmt numFmtId="166" formatCode="0.0%"/>
    <numFmt numFmtId="167" formatCode="#,##0;\(#,##0\);\-"/>
    <numFmt numFmtId="168" formatCode="0%"/>
    <numFmt numFmtId="169" formatCode="0.0000"/>
    <numFmt numFmtId="170" formatCode="0.00"/>
    <numFmt numFmtId="171" formatCode="0.0%;\(0.0%\);\-"/>
    <numFmt numFmtId="172" formatCode="#,##0"/>
    <numFmt numFmtId="173" formatCode="@"/>
  </numFmts>
  <fonts count="3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595959"/>
      <name val="Arial"/>
      <family val="0"/>
      <charset val="1"/>
    </font>
    <font>
      <sz val="10"/>
      <name val="Arial"/>
      <family val="2"/>
    </font>
    <font>
      <b val="true"/>
      <sz val="14"/>
      <color rgb="FFC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sz val="8"/>
      <color rgb="FF595959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b val="true"/>
      <sz val="14"/>
      <color rgb="FF548235"/>
      <name val="Arial"/>
      <family val="0"/>
      <charset val="1"/>
    </font>
    <font>
      <b val="true"/>
      <sz val="10"/>
      <color rgb="FF548235"/>
      <name val="Arial"/>
      <family val="0"/>
      <charset val="1"/>
    </font>
    <font>
      <sz val="8"/>
      <color rgb="FF808080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8"/>
      <color rgb="FF80808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2"/>
      <name val="Arial"/>
      <family val="0"/>
      <charset val="1"/>
    </font>
    <font>
      <b val="true"/>
      <sz val="8"/>
      <name val="Arial"/>
      <family val="0"/>
      <charset val="1"/>
    </font>
    <font>
      <sz val="10"/>
      <color rgb="FF595959"/>
      <name val="Arial"/>
      <family val="0"/>
      <charset val="1"/>
    </font>
    <font>
      <sz val="8"/>
      <name val="Arial"/>
      <family val="0"/>
      <charset val="1"/>
    </font>
    <font>
      <sz val="8"/>
      <color rgb="FF008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8"/>
      <color rgb="FF1F3864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0"/>
      <color rgb="FF008000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DCE3EE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1F3864"/>
        <bgColor rgb="FF333399"/>
      </patternFill>
    </fill>
    <fill>
      <patternFill patternType="solid">
        <fgColor rgb="FFFFF8DC"/>
        <bgColor rgb="FFF2F2F2"/>
      </patternFill>
    </fill>
    <fill>
      <patternFill patternType="solid">
        <fgColor rgb="FFE2EFDA"/>
        <bgColor rgb="FFDCE3EE"/>
      </patternFill>
    </fill>
    <fill>
      <patternFill patternType="solid">
        <fgColor rgb="FFF2F2F2"/>
        <bgColor rgb="FFEEF2F8"/>
      </patternFill>
    </fill>
    <fill>
      <patternFill patternType="solid">
        <fgColor rgb="FFC00000"/>
        <bgColor rgb="FF9C0006"/>
      </patternFill>
    </fill>
    <fill>
      <patternFill patternType="solid">
        <fgColor rgb="FF548235"/>
        <bgColor rgb="FF595959"/>
      </patternFill>
    </fill>
    <fill>
      <patternFill patternType="solid">
        <fgColor rgb="FFEEF2F8"/>
        <bgColor rgb="FFF2F2F2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B7C3D0"/>
      </left>
      <right style="thin">
        <color rgb="FFB7C3D0"/>
      </right>
      <top style="thin">
        <color rgb="FFB7C3D0"/>
      </top>
      <bottom style="thin">
        <color rgb="FFB7C3D0"/>
      </bottom>
      <diagonal/>
    </border>
    <border diagonalUp="false" diagonalDown="false">
      <left/>
      <right/>
      <top style="thin"/>
      <bottom style="double"/>
      <diagonal/>
    </border>
    <border diagonalUp="false" diagonalDown="false">
      <left/>
      <right/>
      <top style="thin">
        <color rgb="FF404040"/>
      </top>
      <bottom/>
      <diagonal/>
    </border>
    <border diagonalUp="false" diagonalDown="false">
      <left style="thin">
        <color rgb="FFB7C3D0"/>
      </left>
      <right/>
      <top style="thin">
        <color rgb="FFB7C3D0"/>
      </top>
      <bottom style="thin">
        <color rgb="FFB7C3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5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5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5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3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5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36" fillId="1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36" fillId="1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36" fillId="1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6" fillId="1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3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3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3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ont>
        <name val="Arial"/>
        <charset val="1"/>
        <family val="0"/>
        <color rgb="FFC00000"/>
      </font>
    </dxf>
    <dxf>
      <font>
        <name val="Arial"/>
        <charset val="1"/>
        <family val="0"/>
        <color rgb="FFBFBFBF"/>
      </font>
    </dxf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FC7CE"/>
        </patternFill>
      </fill>
    </dxf>
    <dxf>
      <font>
        <name val="Arial"/>
        <charset val="1"/>
        <family val="0"/>
        <b val="1"/>
        <color rgb="FF9C5700"/>
      </font>
      <fill>
        <patternFill>
          <bgColor rgb="FFFFEB9C"/>
        </patternFill>
      </fill>
    </dxf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006100"/>
        <sz val="13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0006"/>
        <sz val="13"/>
      </font>
      <fill>
        <patternFill>
          <bgColor rgb="FFFFC7CE"/>
        </patternFill>
      </fill>
    </dxf>
    <dxf>
      <font>
        <name val="Arial"/>
        <charset val="1"/>
        <family val="0"/>
        <b val="1"/>
        <color rgb="FF9C5700"/>
        <sz val="13"/>
      </font>
      <fill>
        <patternFill>
          <bgColor rgb="FFFFEB9C"/>
        </patternFill>
      </fill>
    </dxf>
    <dxf>
      <font>
        <name val="Arial"/>
        <charset val="1"/>
        <family val="0"/>
        <b val="1"/>
        <color rgb="FFC00000"/>
        <sz val="18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548235"/>
      <rgbColor rgb="FF800080"/>
      <rgbColor rgb="FF008080"/>
      <rgbColor rgb="FFBFBFBF"/>
      <rgbColor rgb="FF808080"/>
      <rgbColor rgb="FF7F7F7F"/>
      <rgbColor rgb="FF7030A0"/>
      <rgbColor rgb="FFFFF8DC"/>
      <rgbColor rgb="FFE2EFDA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2F8"/>
      <rgbColor rgb="FFC6EFCE"/>
      <rgbColor rgb="FFFFEB9C"/>
      <rgbColor rgb="FFB7C3D0"/>
      <rgbColor rgb="FFF2F2F2"/>
      <rgbColor rgb="FFDCE3EE"/>
      <rgbColor rgb="FFFFC7CE"/>
      <rgbColor rgb="FF2E75B6"/>
      <rgbColor rgb="FF33CCCC"/>
      <rgbColor rgb="FF99CC00"/>
      <rgbColor rgb="FFFFC000"/>
      <rgbColor rgb="FFFF9900"/>
      <rgbColor rgb="FFFF6600"/>
      <rgbColor rgb="FF595959"/>
      <rgbColor rgb="FF878787"/>
      <rgbColor rgb="FF1F3864"/>
      <rgbColor rgb="FF70AD47"/>
      <rgbColor rgb="FF006100"/>
      <rgbColor rgb="FF333300"/>
      <rgbColor rgb="FF9C57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NPV sensitivity to discount rate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Sensitivity!E22</c:f>
              <c:strCache>
                <c:ptCount val="1"/>
                <c:pt idx="0">
                  <c:v>NPV</c:v>
                </c:pt>
              </c:strCache>
            </c:strRef>
          </c:tx>
          <c:spPr>
            <a:solidFill>
              <a:srgbClr val="1f3864"/>
            </a:solidFill>
            <a:ln w="28440">
              <a:solidFill>
                <a:srgbClr val="1f386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Sensitivity!$A$23:$A$28</c:f>
              <c:strCache>
                <c:ptCount val="6"/>
                <c:pt idx="0">
                  <c:v>2%</c:v>
                </c:pt>
                <c:pt idx="1">
                  <c:v>5%</c:v>
                </c:pt>
                <c:pt idx="2">
                  <c:v>8%</c:v>
                </c:pt>
                <c:pt idx="3">
                  <c:v>11%</c:v>
                </c:pt>
                <c:pt idx="4">
                  <c:v>14%</c:v>
                </c:pt>
                <c:pt idx="5">
                  <c:v>17%</c:v>
                </c:pt>
              </c:strCache>
            </c:strRef>
          </c:cat>
          <c:val>
            <c:numRef>
              <c:f>Sensitivity!$E$23:$E$28</c:f>
              <c:numCache>
                <c:formatCode>#,##0;\(#,##0\);\-</c:formatCode>
                <c:ptCount val="6"/>
                <c:pt idx="0">
                  <c:v>1631994.98313839</c:v>
                </c:pt>
                <c:pt idx="1">
                  <c:v>1096478.94151908</c:v>
                </c:pt>
                <c:pt idx="2">
                  <c:v>710906.85439341</c:v>
                </c:pt>
                <c:pt idx="3">
                  <c:v>427800.542347932</c:v>
                </c:pt>
                <c:pt idx="4">
                  <c:v>216024.313478823</c:v>
                </c:pt>
                <c:pt idx="5">
                  <c:v>54796.1311434437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69784442"/>
        <c:axId val="21700068"/>
      </c:lineChart>
      <c:catAx>
        <c:axId val="6978444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Discount rate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1700068"/>
        <c:crosses val="autoZero"/>
        <c:auto val="1"/>
        <c:lblAlgn val="ctr"/>
        <c:lblOffset val="100"/>
        <c:noMultiLvlLbl val="0"/>
      </c:catAx>
      <c:valAx>
        <c:axId val="2170006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NPV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78444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Annual benefits and costs (undiscounted)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Summary!M2</c:f>
              <c:strCache>
                <c:ptCount val="1"/>
                <c:pt idx="0">
                  <c:v>Benefits</c:v>
                </c:pt>
              </c:strCache>
            </c:strRef>
          </c:tx>
          <c:spPr>
            <a:solidFill>
              <a:srgbClr val="70ad47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Summary!$L$3:$L$23</c:f>
              <c:strCache>
                <c:ptCount val="21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  <c:pt idx="10">
                  <c:v>2037</c:v>
                </c:pt>
                <c:pt idx="11">
                  <c:v>2038</c:v>
                </c:pt>
                <c:pt idx="12">
                  <c:v>2039</c:v>
                </c:pt>
                <c:pt idx="13">
                  <c:v>2040</c:v>
                </c:pt>
                <c:pt idx="14">
                  <c:v>2041</c:v>
                </c:pt>
                <c:pt idx="15">
                  <c:v>2042</c:v>
                </c:pt>
                <c:pt idx="16">
                  <c:v>2043</c:v>
                </c:pt>
                <c:pt idx="17">
                  <c:v>2044</c:v>
                </c:pt>
                <c:pt idx="18">
                  <c:v>2045</c:v>
                </c:pt>
                <c:pt idx="19">
                  <c:v>2046</c:v>
                </c:pt>
                <c:pt idx="20">
                  <c:v>2047</c:v>
                </c:pt>
              </c:strCache>
            </c:strRef>
          </c:cat>
          <c:val>
            <c:numRef>
              <c:f>Summary!$M$3:$M$23</c:f>
              <c:numCache>
                <c:formatCode>#,##0;\(#,##0\);\-</c:formatCode>
                <c:ptCount val="21"/>
                <c:pt idx="0">
                  <c:v>0</c:v>
                </c:pt>
                <c:pt idx="1">
                  <c:v>85000</c:v>
                </c:pt>
                <c:pt idx="2">
                  <c:v>246800</c:v>
                </c:pt>
                <c:pt idx="3">
                  <c:v>251854</c:v>
                </c:pt>
                <c:pt idx="4">
                  <c:v>257027.62</c:v>
                </c:pt>
                <c:pt idx="5">
                  <c:v>262323.8086</c:v>
                </c:pt>
                <c:pt idx="6">
                  <c:v>267745.590058</c:v>
                </c:pt>
                <c:pt idx="7">
                  <c:v>273296.06630374</c:v>
                </c:pt>
                <c:pt idx="8">
                  <c:v>278978.419007732</c:v>
                </c:pt>
                <c:pt idx="9">
                  <c:v>292795.911707142</c:v>
                </c:pt>
                <c:pt idx="10">
                  <c:v>290751.891990117</c:v>
                </c:pt>
                <c:pt idx="11">
                  <c:v>296849.793740217</c:v>
                </c:pt>
                <c:pt idx="12">
                  <c:v>303093.139442628</c:v>
                </c:pt>
                <c:pt idx="13">
                  <c:v>309485.542553915</c:v>
                </c:pt>
                <c:pt idx="14">
                  <c:v>316030.709937101</c:v>
                </c:pt>
                <c:pt idx="15">
                  <c:v>422732.444363914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1"/>
          <c:order val="1"/>
          <c:tx>
            <c:strRef>
              <c:f>Summary!N2</c:f>
              <c:strCache>
                <c:ptCount val="1"/>
                <c:pt idx="0">
                  <c:v>Costs</c:v>
                </c:pt>
              </c:strCache>
            </c:strRef>
          </c:tx>
          <c:spPr>
            <a:solidFill>
              <a:srgbClr val="c0000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Summary!$L$3:$L$23</c:f>
              <c:strCache>
                <c:ptCount val="21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  <c:pt idx="10">
                  <c:v>2037</c:v>
                </c:pt>
                <c:pt idx="11">
                  <c:v>2038</c:v>
                </c:pt>
                <c:pt idx="12">
                  <c:v>2039</c:v>
                </c:pt>
                <c:pt idx="13">
                  <c:v>2040</c:v>
                </c:pt>
                <c:pt idx="14">
                  <c:v>2041</c:v>
                </c:pt>
                <c:pt idx="15">
                  <c:v>2042</c:v>
                </c:pt>
                <c:pt idx="16">
                  <c:v>2043</c:v>
                </c:pt>
                <c:pt idx="17">
                  <c:v>2044</c:v>
                </c:pt>
                <c:pt idx="18">
                  <c:v>2045</c:v>
                </c:pt>
                <c:pt idx="19">
                  <c:v>2046</c:v>
                </c:pt>
                <c:pt idx="20">
                  <c:v>2047</c:v>
                </c:pt>
              </c:strCache>
            </c:strRef>
          </c:cat>
          <c:val>
            <c:numRef>
              <c:f>Summary!$N$3:$N$23</c:f>
              <c:numCache>
                <c:formatCode>#,##0;\(#,##0\);\-</c:formatCode>
                <c:ptCount val="21"/>
                <c:pt idx="0">
                  <c:v>680000</c:v>
                </c:pt>
                <c:pt idx="1">
                  <c:v>232000</c:v>
                </c:pt>
                <c:pt idx="2">
                  <c:v>72420</c:v>
                </c:pt>
                <c:pt idx="3">
                  <c:v>72847.2</c:v>
                </c:pt>
                <c:pt idx="4">
                  <c:v>73281.732</c:v>
                </c:pt>
                <c:pt idx="5">
                  <c:v>73723.73052</c:v>
                </c:pt>
                <c:pt idx="6">
                  <c:v>74173.3326492</c:v>
                </c:pt>
                <c:pt idx="7">
                  <c:v>74630.678096172</c:v>
                </c:pt>
                <c:pt idx="8">
                  <c:v>155095.909240023</c:v>
                </c:pt>
                <c:pt idx="9">
                  <c:v>75569.171182571</c:v>
                </c:pt>
                <c:pt idx="10">
                  <c:v>76050.611801547</c:v>
                </c:pt>
                <c:pt idx="11">
                  <c:v>76540.3818048558</c:v>
                </c:pt>
                <c:pt idx="12">
                  <c:v>77038.6347859036</c:v>
                </c:pt>
                <c:pt idx="13">
                  <c:v>77545.5272800218</c:v>
                </c:pt>
                <c:pt idx="14">
                  <c:v>78061.2188220064</c:v>
                </c:pt>
                <c:pt idx="15">
                  <c:v>78585.8720047946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gapWidth val="150"/>
        <c:overlap val="0"/>
        <c:axId val="67708893"/>
        <c:axId val="56326547"/>
      </c:barChart>
      <c:catAx>
        <c:axId val="67708893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6326547"/>
        <c:crosses val="autoZero"/>
        <c:auto val="1"/>
        <c:lblAlgn val="ctr"/>
        <c:lblOffset val="100"/>
        <c:noMultiLvlLbl val="0"/>
      </c:catAx>
      <c:valAx>
        <c:axId val="56326547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770889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Cumulative PV of net benefit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Summary!O2</c:f>
              <c:strCache>
                <c:ptCount val="1"/>
                <c:pt idx="0">
                  <c:v>Cumulative PV net</c:v>
                </c:pt>
              </c:strCache>
            </c:strRef>
          </c:tx>
          <c:spPr>
            <a:solidFill>
              <a:srgbClr val="1f3864"/>
            </a:solidFill>
            <a:ln w="28440">
              <a:solidFill>
                <a:srgbClr val="1f386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Summary!$L$3:$L$23</c:f>
              <c:strCache>
                <c:ptCount val="21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  <c:pt idx="10">
                  <c:v>2037</c:v>
                </c:pt>
                <c:pt idx="11">
                  <c:v>2038</c:v>
                </c:pt>
                <c:pt idx="12">
                  <c:v>2039</c:v>
                </c:pt>
                <c:pt idx="13">
                  <c:v>2040</c:v>
                </c:pt>
                <c:pt idx="14">
                  <c:v>2041</c:v>
                </c:pt>
                <c:pt idx="15">
                  <c:v>2042</c:v>
                </c:pt>
                <c:pt idx="16">
                  <c:v>2043</c:v>
                </c:pt>
                <c:pt idx="17">
                  <c:v>2044</c:v>
                </c:pt>
                <c:pt idx="18">
                  <c:v>2045</c:v>
                </c:pt>
                <c:pt idx="19">
                  <c:v>2046</c:v>
                </c:pt>
                <c:pt idx="20">
                  <c:v>2047</c:v>
                </c:pt>
              </c:strCache>
            </c:strRef>
          </c:cat>
          <c:val>
            <c:numRef>
              <c:f>Summary!$O$3:$O$23</c:f>
              <c:numCache>
                <c:formatCode>#,##0;\(#,##0\);\-</c:formatCode>
                <c:ptCount val="21"/>
                <c:pt idx="0">
                  <c:v>-680000</c:v>
                </c:pt>
                <c:pt idx="1">
                  <c:v>-813636.363636364</c:v>
                </c:pt>
                <c:pt idx="2">
                  <c:v>-669520.661157025</c:v>
                </c:pt>
                <c:pt idx="3">
                  <c:v>-535030.202854996</c:v>
                </c:pt>
                <c:pt idx="4">
                  <c:v>-409529.288982993</c:v>
                </c:pt>
                <c:pt idx="5">
                  <c:v>-292423.4789725</c:v>
                </c:pt>
                <c:pt idx="6">
                  <c:v>-183156.986083573</c:v>
                </c:pt>
                <c:pt idx="7">
                  <c:v>-81210.2293134044</c:v>
                </c:pt>
                <c:pt idx="8">
                  <c:v>-23418.1242278639</c:v>
                </c:pt>
                <c:pt idx="9">
                  <c:v>68707.2190754243</c:v>
                </c:pt>
                <c:pt idx="10">
                  <c:v>151483.856884057</c:v>
                </c:pt>
                <c:pt idx="11">
                  <c:v>228700.961765734</c:v>
                </c:pt>
                <c:pt idx="12">
                  <c:v>300728.893431616</c:v>
                </c:pt>
                <c:pt idx="13">
                  <c:v>367913.654092046</c:v>
                </c:pt>
                <c:pt idx="14">
                  <c:v>430578.458673964</c:v>
                </c:pt>
                <c:pt idx="15">
                  <c:v>512964.411914386</c:v>
                </c:pt>
                <c:pt idx="16">
                  <c:v>512964.411914386</c:v>
                </c:pt>
                <c:pt idx="17">
                  <c:v>512964.411914386</c:v>
                </c:pt>
                <c:pt idx="18">
                  <c:v>512964.411914386</c:v>
                </c:pt>
                <c:pt idx="19">
                  <c:v>512964.411914386</c:v>
                </c:pt>
                <c:pt idx="20">
                  <c:v>512964.411914386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18890679"/>
        <c:axId val="99276470"/>
      </c:lineChart>
      <c:catAx>
        <c:axId val="18890679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9276470"/>
        <c:crosses val="autoZero"/>
        <c:auto val="1"/>
        <c:lblAlgn val="ctr"/>
        <c:lblOffset val="100"/>
        <c:noMultiLvlLbl val="0"/>
      </c:catAx>
      <c:valAx>
        <c:axId val="9927647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889067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3</xdr:row>
      <xdr:rowOff>160920</xdr:rowOff>
    </xdr:from>
    <xdr:to>
      <xdr:col>16</xdr:col>
      <xdr:colOff>239040</xdr:colOff>
      <xdr:row>15</xdr:row>
      <xdr:rowOff>169560</xdr:rowOff>
    </xdr:to>
    <xdr:graphicFrame>
      <xdr:nvGraphicFramePr>
        <xdr:cNvPr id="0" name="Chart 1"/>
        <xdr:cNvGraphicFramePr/>
      </xdr:nvGraphicFramePr>
      <xdr:xfrm>
        <a:off x="8387640" y="762120"/>
        <a:ext cx="46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17</xdr:row>
      <xdr:rowOff>130680</xdr:rowOff>
    </xdr:from>
    <xdr:to>
      <xdr:col>7</xdr:col>
      <xdr:colOff>57960</xdr:colOff>
      <xdr:row>31</xdr:row>
      <xdr:rowOff>163440</xdr:rowOff>
    </xdr:to>
    <xdr:graphicFrame>
      <xdr:nvGraphicFramePr>
        <xdr:cNvPr id="1" name="Chart 1"/>
        <xdr:cNvGraphicFramePr/>
      </xdr:nvGraphicFramePr>
      <xdr:xfrm>
        <a:off x="141120" y="412416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33</xdr:row>
      <xdr:rowOff>130680</xdr:rowOff>
    </xdr:from>
    <xdr:to>
      <xdr:col>7</xdr:col>
      <xdr:colOff>57960</xdr:colOff>
      <xdr:row>47</xdr:row>
      <xdr:rowOff>163440</xdr:rowOff>
    </xdr:to>
    <xdr:graphicFrame>
      <xdr:nvGraphicFramePr>
        <xdr:cNvPr id="2" name="Chart 2"/>
        <xdr:cNvGraphicFramePr/>
      </xdr:nvGraphicFramePr>
      <xdr:xfrm>
        <a:off x="141120" y="717228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F7F7F"/>
    <pageSetUpPr fitToPage="false"/>
  </sheetPr>
  <dimension ref="B2:C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3" min="3" style="0" width="95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31.5" hidden="false" customHeight="true" outlineLevel="0" collapsed="false">
      <c r="B5" s="3" t="s">
        <v>2</v>
      </c>
      <c r="C5" s="4" t="s">
        <v>3</v>
      </c>
    </row>
    <row r="6" customFormat="false" ht="31.5" hidden="false" customHeight="true" outlineLevel="0" collapsed="false">
      <c r="B6" s="3" t="s">
        <v>4</v>
      </c>
      <c r="C6" s="4" t="s">
        <v>5</v>
      </c>
    </row>
    <row r="7" customFormat="false" ht="31.5" hidden="false" customHeight="true" outlineLevel="0" collapsed="false">
      <c r="B7" s="3" t="s">
        <v>6</v>
      </c>
      <c r="C7" s="4" t="s">
        <v>7</v>
      </c>
    </row>
    <row r="8" customFormat="false" ht="31.5" hidden="false" customHeight="true" outlineLevel="0" collapsed="false">
      <c r="B8" s="3" t="s">
        <v>8</v>
      </c>
      <c r="C8" s="4" t="s">
        <v>9</v>
      </c>
    </row>
    <row r="9" customFormat="false" ht="31.5" hidden="false" customHeight="true" outlineLevel="0" collapsed="false">
      <c r="B9" s="3" t="s">
        <v>10</v>
      </c>
      <c r="C9" s="4" t="s">
        <v>11</v>
      </c>
    </row>
    <row r="10" customFormat="false" ht="31.5" hidden="false" customHeight="true" outlineLevel="0" collapsed="false">
      <c r="B10" s="3" t="s">
        <v>12</v>
      </c>
      <c r="C10" s="4" t="s">
        <v>13</v>
      </c>
    </row>
    <row r="11" customFormat="false" ht="31.5" hidden="false" customHeight="true" outlineLevel="0" collapsed="false">
      <c r="B11" s="3" t="s">
        <v>14</v>
      </c>
      <c r="C11" s="4" t="s">
        <v>15</v>
      </c>
    </row>
    <row r="12" customFormat="false" ht="31.5" hidden="false" customHeight="true" outlineLevel="0" collapsed="false">
      <c r="B12" s="3" t="s">
        <v>16</v>
      </c>
      <c r="C12" s="4" t="s">
        <v>17</v>
      </c>
    </row>
    <row r="14" customFormat="false" ht="15" hidden="false" customHeight="false" outlineLevel="0" collapsed="false">
      <c r="B14" s="5" t="s">
        <v>18</v>
      </c>
    </row>
    <row r="15" customFormat="false" ht="15" hidden="false" customHeight="false" outlineLevel="0" collapsed="false">
      <c r="B15" s="6" t="s">
        <v>19</v>
      </c>
      <c r="C15" s="7" t="s">
        <v>20</v>
      </c>
    </row>
    <row r="16" customFormat="false" ht="15" hidden="false" customHeight="false" outlineLevel="0" collapsed="false">
      <c r="B16" s="7" t="s">
        <v>21</v>
      </c>
      <c r="C16" s="7" t="s">
        <v>22</v>
      </c>
    </row>
    <row r="17" customFormat="false" ht="15" hidden="false" customHeight="false" outlineLevel="0" collapsed="false">
      <c r="B17" s="8" t="s">
        <v>23</v>
      </c>
      <c r="C17" s="7" t="s">
        <v>24</v>
      </c>
    </row>
    <row r="18" customFormat="false" ht="15" hidden="false" customHeight="false" outlineLevel="0" collapsed="false">
      <c r="B18" s="9" t="s">
        <v>25</v>
      </c>
      <c r="C18" s="7" t="s">
        <v>26</v>
      </c>
    </row>
    <row r="20" customFormat="false" ht="30" hidden="false" customHeight="true" outlineLevel="0" collapsed="false">
      <c r="B20" s="5" t="s">
        <v>27</v>
      </c>
      <c r="C20" s="10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false"/>
  </sheetPr>
  <dimension ref="A1:C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2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1" t="s">
        <v>29</v>
      </c>
    </row>
    <row r="2" customFormat="false" ht="15" hidden="false" customHeight="false" outlineLevel="0" collapsed="false">
      <c r="A2" s="12" t="s">
        <v>30</v>
      </c>
    </row>
    <row r="4" customFormat="false" ht="15" hidden="false" customHeight="false" outlineLevel="0" collapsed="false">
      <c r="A4" s="13" t="s">
        <v>31</v>
      </c>
      <c r="B4" s="13" t="s">
        <v>32</v>
      </c>
      <c r="C4" s="13" t="s">
        <v>33</v>
      </c>
    </row>
    <row r="5" customFormat="false" ht="15" hidden="false" customHeight="false" outlineLevel="0" collapsed="false">
      <c r="A5" s="14" t="s">
        <v>34</v>
      </c>
      <c r="B5" s="15" t="s">
        <v>35</v>
      </c>
      <c r="C5" s="16" t="s">
        <v>36</v>
      </c>
    </row>
    <row r="6" customFormat="false" ht="15" hidden="false" customHeight="false" outlineLevel="0" collapsed="false">
      <c r="A6" s="14" t="s">
        <v>37</v>
      </c>
      <c r="B6" s="15" t="s">
        <v>38</v>
      </c>
      <c r="C6" s="16"/>
    </row>
    <row r="7" customFormat="false" ht="15" hidden="false" customHeight="false" outlineLevel="0" collapsed="false">
      <c r="A7" s="14" t="s">
        <v>39</v>
      </c>
      <c r="B7" s="15" t="s">
        <v>40</v>
      </c>
      <c r="C7" s="16" t="s">
        <v>41</v>
      </c>
    </row>
    <row r="8" customFormat="false" ht="15" hidden="false" customHeight="false" outlineLevel="0" collapsed="false">
      <c r="A8" s="14" t="s">
        <v>42</v>
      </c>
      <c r="B8" s="17" t="n">
        <v>2027</v>
      </c>
      <c r="C8" s="16" t="s">
        <v>43</v>
      </c>
    </row>
    <row r="9" customFormat="false" ht="15" hidden="false" customHeight="false" outlineLevel="0" collapsed="false">
      <c r="A9" s="14" t="s">
        <v>44</v>
      </c>
      <c r="B9" s="18" t="n">
        <v>15</v>
      </c>
      <c r="C9" s="16" t="s">
        <v>45</v>
      </c>
    </row>
    <row r="10" customFormat="false" ht="15" hidden="false" customHeight="false" outlineLevel="0" collapsed="false">
      <c r="A10" s="14" t="s">
        <v>46</v>
      </c>
      <c r="B10" s="19" t="n">
        <v>0.1</v>
      </c>
      <c r="C10" s="16" t="s">
        <v>47</v>
      </c>
    </row>
    <row r="11" customFormat="false" ht="15" hidden="false" customHeight="false" outlineLevel="0" collapsed="false">
      <c r="A11" s="14" t="s">
        <v>48</v>
      </c>
      <c r="B11" s="20" t="n">
        <v>100000</v>
      </c>
      <c r="C11" s="16" t="s">
        <v>49</v>
      </c>
    </row>
    <row r="12" customFormat="false" ht="15" hidden="false" customHeight="false" outlineLevel="0" collapsed="false">
      <c r="A12" s="14" t="s">
        <v>50</v>
      </c>
      <c r="B12" s="21" t="n">
        <v>0.2</v>
      </c>
      <c r="C12" s="16" t="s">
        <v>51</v>
      </c>
    </row>
    <row r="13" customFormat="false" ht="15" hidden="false" customHeight="false" outlineLevel="0" collapsed="false">
      <c r="A13" s="14" t="s">
        <v>52</v>
      </c>
      <c r="B13" s="22" t="n">
        <v>0.06</v>
      </c>
      <c r="C13" s="16" t="s">
        <v>53</v>
      </c>
    </row>
    <row r="14" customFormat="false" ht="15" hidden="false" customHeight="false" outlineLevel="0" collapsed="false">
      <c r="A14" s="14" t="s">
        <v>54</v>
      </c>
      <c r="B14" s="22" t="n">
        <v>0.14</v>
      </c>
      <c r="C14" s="16" t="s">
        <v>53</v>
      </c>
    </row>
    <row r="17" customFormat="false" ht="15" hidden="false" customHeight="false" outlineLevel="0" collapsed="false">
      <c r="A17" s="23" t="s">
        <v>55</v>
      </c>
    </row>
    <row r="18" customFormat="false" ht="15" hidden="false" customHeight="false" outlineLevel="0" collapsed="false">
      <c r="A18" s="13" t="s">
        <v>56</v>
      </c>
      <c r="B18" s="13" t="s">
        <v>57</v>
      </c>
    </row>
    <row r="19" customFormat="false" ht="15" hidden="false" customHeight="false" outlineLevel="0" collapsed="false">
      <c r="A19" s="15" t="s">
        <v>58</v>
      </c>
      <c r="B19" s="15" t="s">
        <v>59</v>
      </c>
    </row>
    <row r="20" customFormat="false" ht="15" hidden="false" customHeight="false" outlineLevel="0" collapsed="false">
      <c r="A20" s="15" t="s">
        <v>60</v>
      </c>
      <c r="B20" s="15" t="s">
        <v>61</v>
      </c>
    </row>
    <row r="21" customFormat="false" ht="15" hidden="false" customHeight="false" outlineLevel="0" collapsed="false">
      <c r="A21" s="15" t="s">
        <v>62</v>
      </c>
      <c r="B21" s="15" t="s">
        <v>63</v>
      </c>
    </row>
    <row r="22" customFormat="false" ht="15" hidden="false" customHeight="false" outlineLevel="0" collapsed="false">
      <c r="A22" s="15" t="s">
        <v>64</v>
      </c>
      <c r="B22" s="15" t="s">
        <v>65</v>
      </c>
    </row>
    <row r="23" customFormat="false" ht="15" hidden="false" customHeight="false" outlineLevel="0" collapsed="false">
      <c r="A23" s="15" t="s">
        <v>66</v>
      </c>
      <c r="B23" s="15" t="s">
        <v>67</v>
      </c>
    </row>
    <row r="24" customFormat="false" ht="15" hidden="false" customHeight="false" outlineLevel="0" collapsed="false">
      <c r="A24" s="15" t="s">
        <v>68</v>
      </c>
      <c r="B24" s="15" t="s">
        <v>68</v>
      </c>
    </row>
    <row r="25" customFormat="false" ht="15" hidden="false" customHeight="false" outlineLevel="0" collapsed="false">
      <c r="A25" s="15"/>
      <c r="B25" s="15"/>
    </row>
    <row r="26" customFormat="false" ht="15" hidden="false" customHeight="false" outlineLevel="0" collapsed="false">
      <c r="A26" s="15"/>
      <c r="B26" s="15"/>
    </row>
  </sheetData>
  <dataValidations count="1">
    <dataValidation allowBlank="false" error="Enter a whole number of years between 1 and 20." errorStyle="stop" operator="between" showDropDown="false" showErrorMessage="false" showInputMessage="false" sqref="B9" type="whole">
      <formula1>1</formula1>
      <formula2>20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false"/>
  </sheetPr>
  <dimension ref="A1:AA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6" ySplit="6" topLeftCell="G7" activePane="bottomRight" state="frozen"/>
      <selection pane="topLeft" activeCell="A1" activeCellId="0" sqref="A1"/>
      <selection pane="topRight" activeCell="G1" activeCellId="0" sqref="G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0"/>
    <col collapsed="false" customWidth="true" hidden="false" outlineLevel="0" max="3" min="3" style="0" width="13"/>
    <col collapsed="false" customWidth="true" hidden="false" outlineLevel="0" max="5" min="4" style="0" width="7"/>
    <col collapsed="false" customWidth="true" hidden="false" outlineLevel="0" max="6" min="6" style="0" width="11"/>
    <col collapsed="false" customWidth="true" hidden="false" outlineLevel="0" max="27" min="7" style="0" width="10"/>
  </cols>
  <sheetData>
    <row r="1" customFormat="false" ht="17.35" hidden="false" customHeight="false" outlineLevel="0" collapsed="false">
      <c r="A1" s="24" t="s">
        <v>69</v>
      </c>
    </row>
    <row r="2" customFormat="false" ht="15" hidden="false" customHeight="false" outlineLevel="0" collapsed="false">
      <c r="A2" s="2" t="str">
        <f aca="false">ProjName&amp;"   |   "&amp;Currency&amp;", constant prices"</f>
        <v>[Community Water Supply Scheme – Option A]   |   GHS, constant prices</v>
      </c>
    </row>
    <row r="3" customFormat="false" ht="15" hidden="false" customHeight="false" outlineLevel="0" collapsed="false">
      <c r="A3" s="12" t="s">
        <v>70</v>
      </c>
    </row>
    <row r="5" customFormat="false" ht="30" hidden="false" customHeight="true" outlineLevel="0" collapsed="false">
      <c r="A5" s="25" t="s">
        <v>71</v>
      </c>
      <c r="B5" s="25" t="s">
        <v>72</v>
      </c>
      <c r="C5" s="25" t="s">
        <v>73</v>
      </c>
      <c r="D5" s="25" t="s">
        <v>74</v>
      </c>
      <c r="E5" s="25" t="s">
        <v>75</v>
      </c>
      <c r="F5" s="25" t="s">
        <v>76</v>
      </c>
      <c r="G5" s="25" t="s">
        <v>77</v>
      </c>
      <c r="H5" s="25" t="s">
        <v>78</v>
      </c>
      <c r="I5" s="25" t="s">
        <v>79</v>
      </c>
      <c r="J5" s="25" t="s">
        <v>80</v>
      </c>
      <c r="K5" s="25" t="s">
        <v>81</v>
      </c>
      <c r="L5" s="25" t="s">
        <v>82</v>
      </c>
      <c r="M5" s="25" t="s">
        <v>83</v>
      </c>
      <c r="N5" s="25" t="s">
        <v>84</v>
      </c>
      <c r="O5" s="25" t="s">
        <v>85</v>
      </c>
      <c r="P5" s="25" t="s">
        <v>86</v>
      </c>
      <c r="Q5" s="25" t="s">
        <v>87</v>
      </c>
      <c r="R5" s="25" t="s">
        <v>88</v>
      </c>
      <c r="S5" s="25" t="s">
        <v>89</v>
      </c>
      <c r="T5" s="25" t="s">
        <v>90</v>
      </c>
      <c r="U5" s="25" t="s">
        <v>91</v>
      </c>
      <c r="V5" s="25" t="s">
        <v>92</v>
      </c>
      <c r="W5" s="25" t="s">
        <v>93</v>
      </c>
      <c r="X5" s="25" t="s">
        <v>94</v>
      </c>
      <c r="Y5" s="25" t="s">
        <v>95</v>
      </c>
      <c r="Z5" s="25" t="s">
        <v>96</v>
      </c>
      <c r="AA5" s="25" t="s">
        <v>97</v>
      </c>
    </row>
    <row r="6" customFormat="false" ht="15" hidden="false" customHeight="false" outlineLevel="0" collapsed="false">
      <c r="F6" s="26" t="s">
        <v>98</v>
      </c>
      <c r="G6" s="27" t="n">
        <f aca="false">Year0+0</f>
        <v>2027</v>
      </c>
      <c r="H6" s="27" t="n">
        <f aca="false">Year0+1</f>
        <v>2028</v>
      </c>
      <c r="I6" s="27" t="n">
        <f aca="false">Year0+2</f>
        <v>2029</v>
      </c>
      <c r="J6" s="27" t="n">
        <f aca="false">Year0+3</f>
        <v>2030</v>
      </c>
      <c r="K6" s="27" t="n">
        <f aca="false">Year0+4</f>
        <v>2031</v>
      </c>
      <c r="L6" s="27" t="n">
        <f aca="false">Year0+5</f>
        <v>2032</v>
      </c>
      <c r="M6" s="27" t="n">
        <f aca="false">Year0+6</f>
        <v>2033</v>
      </c>
      <c r="N6" s="27" t="n">
        <f aca="false">Year0+7</f>
        <v>2034</v>
      </c>
      <c r="O6" s="27" t="n">
        <f aca="false">Year0+8</f>
        <v>2035</v>
      </c>
      <c r="P6" s="27" t="n">
        <f aca="false">Year0+9</f>
        <v>2036</v>
      </c>
      <c r="Q6" s="27" t="n">
        <f aca="false">Year0+10</f>
        <v>2037</v>
      </c>
      <c r="R6" s="27" t="n">
        <f aca="false">Year0+11</f>
        <v>2038</v>
      </c>
      <c r="S6" s="27" t="n">
        <f aca="false">Year0+12</f>
        <v>2039</v>
      </c>
      <c r="T6" s="27" t="n">
        <f aca="false">Year0+13</f>
        <v>2040</v>
      </c>
      <c r="U6" s="27" t="n">
        <f aca="false">Year0+14</f>
        <v>2041</v>
      </c>
      <c r="V6" s="27" t="n">
        <f aca="false">Year0+15</f>
        <v>2042</v>
      </c>
      <c r="W6" s="27" t="n">
        <f aca="false">Year0+16</f>
        <v>2043</v>
      </c>
      <c r="X6" s="27" t="n">
        <f aca="false">Year0+17</f>
        <v>2044</v>
      </c>
      <c r="Y6" s="27" t="n">
        <f aca="false">Year0+18</f>
        <v>2045</v>
      </c>
      <c r="Z6" s="27" t="n">
        <f aca="false">Year0+19</f>
        <v>2046</v>
      </c>
      <c r="AA6" s="27" t="n">
        <f aca="false">Year0+20</f>
        <v>2047</v>
      </c>
    </row>
    <row r="7" customFormat="false" ht="15" hidden="false" customHeight="false" outlineLevel="0" collapsed="false">
      <c r="A7" s="28" t="s">
        <v>99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</row>
    <row r="8" customFormat="false" ht="15" hidden="false" customHeight="false" outlineLevel="0" collapsed="false">
      <c r="A8" s="6" t="s">
        <v>100</v>
      </c>
      <c r="B8" s="6" t="s">
        <v>64</v>
      </c>
      <c r="C8" s="30" t="n">
        <v>40000</v>
      </c>
      <c r="D8" s="31" t="n">
        <v>1</v>
      </c>
      <c r="E8" s="31" t="n">
        <v>15</v>
      </c>
      <c r="F8" s="32" t="n">
        <v>0</v>
      </c>
      <c r="G8" s="33" t="n">
        <f aca="false">IF(OR($C8="",0&lt;$D8,0&gt;$E8),0,$C8*(1+N($F8))^(0-$D8))</f>
        <v>0</v>
      </c>
      <c r="H8" s="33" t="n">
        <f aca="false">IF(OR($C8="",1&lt;$D8,1&gt;$E8),0,$C8*(1+N($F8))^(1-$D8))</f>
        <v>40000</v>
      </c>
      <c r="I8" s="33" t="n">
        <f aca="false">IF(OR($C8="",2&lt;$D8,2&gt;$E8),0,$C8*(1+N($F8))^(2-$D8))</f>
        <v>40000</v>
      </c>
      <c r="J8" s="33" t="n">
        <f aca="false">IF(OR($C8="",3&lt;$D8,3&gt;$E8),0,$C8*(1+N($F8))^(3-$D8))</f>
        <v>40000</v>
      </c>
      <c r="K8" s="33" t="n">
        <f aca="false">IF(OR($C8="",4&lt;$D8,4&gt;$E8),0,$C8*(1+N($F8))^(4-$D8))</f>
        <v>40000</v>
      </c>
      <c r="L8" s="33" t="n">
        <f aca="false">IF(OR($C8="",5&lt;$D8,5&gt;$E8),0,$C8*(1+N($F8))^(5-$D8))</f>
        <v>40000</v>
      </c>
      <c r="M8" s="33" t="n">
        <f aca="false">IF(OR($C8="",6&lt;$D8,6&gt;$E8),0,$C8*(1+N($F8))^(6-$D8))</f>
        <v>40000</v>
      </c>
      <c r="N8" s="33" t="n">
        <f aca="false">IF(OR($C8="",7&lt;$D8,7&gt;$E8),0,$C8*(1+N($F8))^(7-$D8))</f>
        <v>40000</v>
      </c>
      <c r="O8" s="33" t="n">
        <f aca="false">IF(OR($C8="",8&lt;$D8,8&gt;$E8),0,$C8*(1+N($F8))^(8-$D8))</f>
        <v>40000</v>
      </c>
      <c r="P8" s="33" t="n">
        <f aca="false">IF(OR($C8="",9&lt;$D8,9&gt;$E8),0,$C8*(1+N($F8))^(9-$D8))</f>
        <v>40000</v>
      </c>
      <c r="Q8" s="33" t="n">
        <f aca="false">IF(OR($C8="",10&lt;$D8,10&gt;$E8),0,$C8*(1+N($F8))^(10-$D8))</f>
        <v>40000</v>
      </c>
      <c r="R8" s="33" t="n">
        <f aca="false">IF(OR($C8="",11&lt;$D8,11&gt;$E8),0,$C8*(1+N($F8))^(11-$D8))</f>
        <v>40000</v>
      </c>
      <c r="S8" s="33" t="n">
        <f aca="false">IF(OR($C8="",12&lt;$D8,12&gt;$E8),0,$C8*(1+N($F8))^(12-$D8))</f>
        <v>40000</v>
      </c>
      <c r="T8" s="33" t="n">
        <f aca="false">IF(OR($C8="",13&lt;$D8,13&gt;$E8),0,$C8*(1+N($F8))^(13-$D8))</f>
        <v>40000</v>
      </c>
      <c r="U8" s="33" t="n">
        <f aca="false">IF(OR($C8="",14&lt;$D8,14&gt;$E8),0,$C8*(1+N($F8))^(14-$D8))</f>
        <v>40000</v>
      </c>
      <c r="V8" s="33" t="n">
        <f aca="false">IF(OR($C8="",15&lt;$D8,15&gt;$E8),0,$C8*(1+N($F8))^(15-$D8))</f>
        <v>40000</v>
      </c>
      <c r="W8" s="33" t="n">
        <f aca="false">IF(OR($C8="",16&lt;$D8,16&gt;$E8),0,$C8*(1+N($F8))^(16-$D8))</f>
        <v>0</v>
      </c>
      <c r="X8" s="33" t="n">
        <f aca="false">IF(OR($C8="",17&lt;$D8,17&gt;$E8),0,$C8*(1+N($F8))^(17-$D8))</f>
        <v>0</v>
      </c>
      <c r="Y8" s="33" t="n">
        <f aca="false">IF(OR($C8="",18&lt;$D8,18&gt;$E8),0,$C8*(1+N($F8))^(18-$D8))</f>
        <v>0</v>
      </c>
      <c r="Z8" s="33" t="n">
        <f aca="false">IF(OR($C8="",19&lt;$D8,19&gt;$E8),0,$C8*(1+N($F8))^(19-$D8))</f>
        <v>0</v>
      </c>
      <c r="AA8" s="33" t="n">
        <f aca="false">IF(OR($C8="",20&lt;$D8,20&gt;$E8),0,$C8*(1+N($F8))^(20-$D8))</f>
        <v>0</v>
      </c>
    </row>
    <row r="9" customFormat="false" ht="15" hidden="false" customHeight="false" outlineLevel="0" collapsed="false">
      <c r="A9" s="6" t="s">
        <v>101</v>
      </c>
      <c r="B9" s="6" t="s">
        <v>62</v>
      </c>
      <c r="C9" s="30" t="n">
        <v>15000</v>
      </c>
      <c r="D9" s="31" t="n">
        <v>1</v>
      </c>
      <c r="E9" s="31" t="n">
        <v>15</v>
      </c>
      <c r="F9" s="32" t="n">
        <v>0.02</v>
      </c>
      <c r="G9" s="33" t="n">
        <f aca="false">IF(OR($C9="",0&lt;$D9,0&gt;$E9),0,$C9*(1+N($F9))^(0-$D9))</f>
        <v>0</v>
      </c>
      <c r="H9" s="33" t="n">
        <f aca="false">IF(OR($C9="",1&lt;$D9,1&gt;$E9),0,$C9*(1+N($F9))^(1-$D9))</f>
        <v>15000</v>
      </c>
      <c r="I9" s="33" t="n">
        <f aca="false">IF(OR($C9="",2&lt;$D9,2&gt;$E9),0,$C9*(1+N($F9))^(2-$D9))</f>
        <v>15300</v>
      </c>
      <c r="J9" s="33" t="n">
        <f aca="false">IF(OR($C9="",3&lt;$D9,3&gt;$E9),0,$C9*(1+N($F9))^(3-$D9))</f>
        <v>15606</v>
      </c>
      <c r="K9" s="33" t="n">
        <f aca="false">IF(OR($C9="",4&lt;$D9,4&gt;$E9),0,$C9*(1+N($F9))^(4-$D9))</f>
        <v>15918.12</v>
      </c>
      <c r="L9" s="33" t="n">
        <f aca="false">IF(OR($C9="",5&lt;$D9,5&gt;$E9),0,$C9*(1+N($F9))^(5-$D9))</f>
        <v>16236.4824</v>
      </c>
      <c r="M9" s="33" t="n">
        <f aca="false">IF(OR($C9="",6&lt;$D9,6&gt;$E9),0,$C9*(1+N($F9))^(6-$D9))</f>
        <v>16561.212048</v>
      </c>
      <c r="N9" s="33" t="n">
        <f aca="false">IF(OR($C9="",7&lt;$D9,7&gt;$E9),0,$C9*(1+N($F9))^(7-$D9))</f>
        <v>16892.43628896</v>
      </c>
      <c r="O9" s="33" t="n">
        <f aca="false">IF(OR($C9="",8&lt;$D9,8&gt;$E9),0,$C9*(1+N($F9))^(8-$D9))</f>
        <v>17230.2850147392</v>
      </c>
      <c r="P9" s="33" t="n">
        <f aca="false">IF(OR($C9="",9&lt;$D9,9&gt;$E9),0,$C9*(1+N($F9))^(9-$D9))</f>
        <v>17574.890715034</v>
      </c>
      <c r="Q9" s="33" t="n">
        <f aca="false">IF(OR($C9="",10&lt;$D9,10&gt;$E9),0,$C9*(1+N($F9))^(10-$D9))</f>
        <v>17926.3885293347</v>
      </c>
      <c r="R9" s="33" t="n">
        <f aca="false">IF(OR($C9="",11&lt;$D9,11&gt;$E9),0,$C9*(1+N($F9))^(11-$D9))</f>
        <v>18284.9162999214</v>
      </c>
      <c r="S9" s="33" t="n">
        <f aca="false">IF(OR($C9="",12&lt;$D9,12&gt;$E9),0,$C9*(1+N($F9))^(12-$D9))</f>
        <v>18650.6146259198</v>
      </c>
      <c r="T9" s="33" t="n">
        <f aca="false">IF(OR($C9="",13&lt;$D9,13&gt;$E9),0,$C9*(1+N($F9))^(13-$D9))</f>
        <v>19023.6269184382</v>
      </c>
      <c r="U9" s="33" t="n">
        <f aca="false">IF(OR($C9="",14&lt;$D9,14&gt;$E9),0,$C9*(1+N($F9))^(14-$D9))</f>
        <v>19404.0994568069</v>
      </c>
      <c r="V9" s="33" t="n">
        <f aca="false">IF(OR($C9="",15&lt;$D9,15&gt;$E9),0,$C9*(1+N($F9))^(15-$D9))</f>
        <v>19792.1814459431</v>
      </c>
      <c r="W9" s="33" t="n">
        <f aca="false">IF(OR($C9="",16&lt;$D9,16&gt;$E9),0,$C9*(1+N($F9))^(16-$D9))</f>
        <v>0</v>
      </c>
      <c r="X9" s="33" t="n">
        <f aca="false">IF(OR($C9="",17&lt;$D9,17&gt;$E9),0,$C9*(1+N($F9))^(17-$D9))</f>
        <v>0</v>
      </c>
      <c r="Y9" s="33" t="n">
        <f aca="false">IF(OR($C9="",18&lt;$D9,18&gt;$E9),0,$C9*(1+N($F9))^(18-$D9))</f>
        <v>0</v>
      </c>
      <c r="Z9" s="33" t="n">
        <f aca="false">IF(OR($C9="",19&lt;$D9,19&gt;$E9),0,$C9*(1+N($F9))^(19-$D9))</f>
        <v>0</v>
      </c>
      <c r="AA9" s="33" t="n">
        <f aca="false">IF(OR($C9="",20&lt;$D9,20&gt;$E9),0,$C9*(1+N($F9))^(20-$D9))</f>
        <v>0</v>
      </c>
    </row>
    <row r="10" customFormat="false" ht="15" hidden="false" customHeight="false" outlineLevel="0" collapsed="false">
      <c r="A10" s="6" t="s">
        <v>102</v>
      </c>
      <c r="B10" s="6" t="s">
        <v>60</v>
      </c>
      <c r="C10" s="30" t="n">
        <v>12000</v>
      </c>
      <c r="D10" s="31" t="n">
        <v>1</v>
      </c>
      <c r="E10" s="31" t="n">
        <v>15</v>
      </c>
      <c r="F10" s="32" t="n">
        <v>0.01</v>
      </c>
      <c r="G10" s="33" t="n">
        <f aca="false">IF(OR($C10="",0&lt;$D10,0&gt;$E10),0,$C10*(1+N($F10))^(0-$D10))</f>
        <v>0</v>
      </c>
      <c r="H10" s="33" t="n">
        <f aca="false">IF(OR($C10="",1&lt;$D10,1&gt;$E10),0,$C10*(1+N($F10))^(1-$D10))</f>
        <v>12000</v>
      </c>
      <c r="I10" s="33" t="n">
        <f aca="false">IF(OR($C10="",2&lt;$D10,2&gt;$E10),0,$C10*(1+N($F10))^(2-$D10))</f>
        <v>12120</v>
      </c>
      <c r="J10" s="33" t="n">
        <f aca="false">IF(OR($C10="",3&lt;$D10,3&gt;$E10),0,$C10*(1+N($F10))^(3-$D10))</f>
        <v>12241.2</v>
      </c>
      <c r="K10" s="33" t="n">
        <f aca="false">IF(OR($C10="",4&lt;$D10,4&gt;$E10),0,$C10*(1+N($F10))^(4-$D10))</f>
        <v>12363.612</v>
      </c>
      <c r="L10" s="33" t="n">
        <f aca="false">IF(OR($C10="",5&lt;$D10,5&gt;$E10),0,$C10*(1+N($F10))^(5-$D10))</f>
        <v>12487.24812</v>
      </c>
      <c r="M10" s="33" t="n">
        <f aca="false">IF(OR($C10="",6&lt;$D10,6&gt;$E10),0,$C10*(1+N($F10))^(6-$D10))</f>
        <v>12612.1206012</v>
      </c>
      <c r="N10" s="33" t="n">
        <f aca="false">IF(OR($C10="",7&lt;$D10,7&gt;$E10),0,$C10*(1+N($F10))^(7-$D10))</f>
        <v>12738.241807212</v>
      </c>
      <c r="O10" s="33" t="n">
        <f aca="false">IF(OR($C10="",8&lt;$D10,8&gt;$E10),0,$C10*(1+N($F10))^(8-$D10))</f>
        <v>12865.6242252841</v>
      </c>
      <c r="P10" s="33" t="n">
        <f aca="false">IF(OR($C10="",9&lt;$D10,9&gt;$E10),0,$C10*(1+N($F10))^(9-$D10))</f>
        <v>12994.280467537</v>
      </c>
      <c r="Q10" s="33" t="n">
        <f aca="false">IF(OR($C10="",10&lt;$D10,10&gt;$E10),0,$C10*(1+N($F10))^(10-$D10))</f>
        <v>13124.2232722123</v>
      </c>
      <c r="R10" s="33" t="n">
        <f aca="false">IF(OR($C10="",11&lt;$D10,11&gt;$E10),0,$C10*(1+N($F10))^(11-$D10))</f>
        <v>13255.4655049345</v>
      </c>
      <c r="S10" s="33" t="n">
        <f aca="false">IF(OR($C10="",12&lt;$D10,12&gt;$E10),0,$C10*(1+N($F10))^(12-$D10))</f>
        <v>13388.0201599838</v>
      </c>
      <c r="T10" s="33" t="n">
        <f aca="false">IF(OR($C10="",13&lt;$D10,13&gt;$E10),0,$C10*(1+N($F10))^(13-$D10))</f>
        <v>13521.9003615836</v>
      </c>
      <c r="U10" s="33" t="n">
        <f aca="false">IF(OR($C10="",14&lt;$D10,14&gt;$E10),0,$C10*(1+N($F10))^(14-$D10))</f>
        <v>13657.1193651995</v>
      </c>
      <c r="V10" s="33" t="n">
        <f aca="false">IF(OR($C10="",15&lt;$D10,15&gt;$E10),0,$C10*(1+N($F10))^(15-$D10))</f>
        <v>13793.6905588515</v>
      </c>
      <c r="W10" s="33" t="n">
        <f aca="false">IF(OR($C10="",16&lt;$D10,16&gt;$E10),0,$C10*(1+N($F10))^(16-$D10))</f>
        <v>0</v>
      </c>
      <c r="X10" s="33" t="n">
        <f aca="false">IF(OR($C10="",17&lt;$D10,17&gt;$E10),0,$C10*(1+N($F10))^(17-$D10))</f>
        <v>0</v>
      </c>
      <c r="Y10" s="33" t="n">
        <f aca="false">IF(OR($C10="",18&lt;$D10,18&gt;$E10),0,$C10*(1+N($F10))^(18-$D10))</f>
        <v>0</v>
      </c>
      <c r="Z10" s="33" t="n">
        <f aca="false">IF(OR($C10="",19&lt;$D10,19&gt;$E10),0,$C10*(1+N($F10))^(19-$D10))</f>
        <v>0</v>
      </c>
      <c r="AA10" s="33" t="n">
        <f aca="false">IF(OR($C10="",20&lt;$D10,20&gt;$E10),0,$C10*(1+N($F10))^(20-$D10))</f>
        <v>0</v>
      </c>
    </row>
    <row r="11" customFormat="false" ht="15" hidden="false" customHeight="false" outlineLevel="0" collapsed="false">
      <c r="A11" s="6" t="s">
        <v>103</v>
      </c>
      <c r="B11" s="6" t="s">
        <v>68</v>
      </c>
      <c r="C11" s="30" t="n">
        <v>5000</v>
      </c>
      <c r="D11" s="31" t="n">
        <v>1</v>
      </c>
      <c r="E11" s="31" t="n">
        <v>15</v>
      </c>
      <c r="F11" s="32" t="n">
        <v>0</v>
      </c>
      <c r="G11" s="33" t="n">
        <f aca="false">IF(OR($C11="",0&lt;$D11,0&gt;$E11),0,$C11*(1+N($F11))^(0-$D11))</f>
        <v>0</v>
      </c>
      <c r="H11" s="33" t="n">
        <f aca="false">IF(OR($C11="",1&lt;$D11,1&gt;$E11),0,$C11*(1+N($F11))^(1-$D11))</f>
        <v>5000</v>
      </c>
      <c r="I11" s="33" t="n">
        <f aca="false">IF(OR($C11="",2&lt;$D11,2&gt;$E11),0,$C11*(1+N($F11))^(2-$D11))</f>
        <v>5000</v>
      </c>
      <c r="J11" s="33" t="n">
        <f aca="false">IF(OR($C11="",3&lt;$D11,3&gt;$E11),0,$C11*(1+N($F11))^(3-$D11))</f>
        <v>5000</v>
      </c>
      <c r="K11" s="33" t="n">
        <f aca="false">IF(OR($C11="",4&lt;$D11,4&gt;$E11),0,$C11*(1+N($F11))^(4-$D11))</f>
        <v>5000</v>
      </c>
      <c r="L11" s="33" t="n">
        <f aca="false">IF(OR($C11="",5&lt;$D11,5&gt;$E11),0,$C11*(1+N($F11))^(5-$D11))</f>
        <v>5000</v>
      </c>
      <c r="M11" s="33" t="n">
        <f aca="false">IF(OR($C11="",6&lt;$D11,6&gt;$E11),0,$C11*(1+N($F11))^(6-$D11))</f>
        <v>5000</v>
      </c>
      <c r="N11" s="33" t="n">
        <f aca="false">IF(OR($C11="",7&lt;$D11,7&gt;$E11),0,$C11*(1+N($F11))^(7-$D11))</f>
        <v>5000</v>
      </c>
      <c r="O11" s="33" t="n">
        <f aca="false">IF(OR($C11="",8&lt;$D11,8&gt;$E11),0,$C11*(1+N($F11))^(8-$D11))</f>
        <v>5000</v>
      </c>
      <c r="P11" s="33" t="n">
        <f aca="false">IF(OR($C11="",9&lt;$D11,9&gt;$E11),0,$C11*(1+N($F11))^(9-$D11))</f>
        <v>5000</v>
      </c>
      <c r="Q11" s="33" t="n">
        <f aca="false">IF(OR($C11="",10&lt;$D11,10&gt;$E11),0,$C11*(1+N($F11))^(10-$D11))</f>
        <v>5000</v>
      </c>
      <c r="R11" s="33" t="n">
        <f aca="false">IF(OR($C11="",11&lt;$D11,11&gt;$E11),0,$C11*(1+N($F11))^(11-$D11))</f>
        <v>5000</v>
      </c>
      <c r="S11" s="33" t="n">
        <f aca="false">IF(OR($C11="",12&lt;$D11,12&gt;$E11),0,$C11*(1+N($F11))^(12-$D11))</f>
        <v>5000</v>
      </c>
      <c r="T11" s="33" t="n">
        <f aca="false">IF(OR($C11="",13&lt;$D11,13&gt;$E11),0,$C11*(1+N($F11))^(13-$D11))</f>
        <v>5000</v>
      </c>
      <c r="U11" s="33" t="n">
        <f aca="false">IF(OR($C11="",14&lt;$D11,14&gt;$E11),0,$C11*(1+N($F11))^(14-$D11))</f>
        <v>5000</v>
      </c>
      <c r="V11" s="33" t="n">
        <f aca="false">IF(OR($C11="",15&lt;$D11,15&gt;$E11),0,$C11*(1+N($F11))^(15-$D11))</f>
        <v>5000</v>
      </c>
      <c r="W11" s="33" t="n">
        <f aca="false">IF(OR($C11="",16&lt;$D11,16&gt;$E11),0,$C11*(1+N($F11))^(16-$D11))</f>
        <v>0</v>
      </c>
      <c r="X11" s="33" t="n">
        <f aca="false">IF(OR($C11="",17&lt;$D11,17&gt;$E11),0,$C11*(1+N($F11))^(17-$D11))</f>
        <v>0</v>
      </c>
      <c r="Y11" s="33" t="n">
        <f aca="false">IF(OR($C11="",18&lt;$D11,18&gt;$E11),0,$C11*(1+N($F11))^(18-$D11))</f>
        <v>0</v>
      </c>
      <c r="Z11" s="33" t="n">
        <f aca="false">IF(OR($C11="",19&lt;$D11,19&gt;$E11),0,$C11*(1+N($F11))^(19-$D11))</f>
        <v>0</v>
      </c>
      <c r="AA11" s="33" t="n">
        <f aca="false">IF(OR($C11="",20&lt;$D11,20&gt;$E11),0,$C11*(1+N($F11))^(20-$D11))</f>
        <v>0</v>
      </c>
    </row>
    <row r="12" customFormat="false" ht="15" hidden="false" customHeight="false" outlineLevel="0" collapsed="false">
      <c r="A12" s="6"/>
      <c r="B12" s="6"/>
      <c r="C12" s="30"/>
      <c r="D12" s="31"/>
      <c r="E12" s="31"/>
      <c r="F12" s="32"/>
      <c r="G12" s="33" t="n">
        <f aca="false">IF(OR($C12="",0&lt;$D12,0&gt;$E12),0,$C12*(1+N($F12))^(0-$D12))</f>
        <v>0</v>
      </c>
      <c r="H12" s="33" t="n">
        <f aca="false">IF(OR($C12="",1&lt;$D12,1&gt;$E12),0,$C12*(1+N($F12))^(1-$D12))</f>
        <v>0</v>
      </c>
      <c r="I12" s="33" t="n">
        <f aca="false">IF(OR($C12="",2&lt;$D12,2&gt;$E12),0,$C12*(1+N($F12))^(2-$D12))</f>
        <v>0</v>
      </c>
      <c r="J12" s="33" t="n">
        <f aca="false">IF(OR($C12="",3&lt;$D12,3&gt;$E12),0,$C12*(1+N($F12))^(3-$D12))</f>
        <v>0</v>
      </c>
      <c r="K12" s="33" t="n">
        <f aca="false">IF(OR($C12="",4&lt;$D12,4&gt;$E12),0,$C12*(1+N($F12))^(4-$D12))</f>
        <v>0</v>
      </c>
      <c r="L12" s="33" t="n">
        <f aca="false">IF(OR($C12="",5&lt;$D12,5&gt;$E12),0,$C12*(1+N($F12))^(5-$D12))</f>
        <v>0</v>
      </c>
      <c r="M12" s="33" t="n">
        <f aca="false">IF(OR($C12="",6&lt;$D12,6&gt;$E12),0,$C12*(1+N($F12))^(6-$D12))</f>
        <v>0</v>
      </c>
      <c r="N12" s="33" t="n">
        <f aca="false">IF(OR($C12="",7&lt;$D12,7&gt;$E12),0,$C12*(1+N($F12))^(7-$D12))</f>
        <v>0</v>
      </c>
      <c r="O12" s="33" t="n">
        <f aca="false">IF(OR($C12="",8&lt;$D12,8&gt;$E12),0,$C12*(1+N($F12))^(8-$D12))</f>
        <v>0</v>
      </c>
      <c r="P12" s="33" t="n">
        <f aca="false">IF(OR($C12="",9&lt;$D12,9&gt;$E12),0,$C12*(1+N($F12))^(9-$D12))</f>
        <v>0</v>
      </c>
      <c r="Q12" s="33" t="n">
        <f aca="false">IF(OR($C12="",10&lt;$D12,10&gt;$E12),0,$C12*(1+N($F12))^(10-$D12))</f>
        <v>0</v>
      </c>
      <c r="R12" s="33" t="n">
        <f aca="false">IF(OR($C12="",11&lt;$D12,11&gt;$E12),0,$C12*(1+N($F12))^(11-$D12))</f>
        <v>0</v>
      </c>
      <c r="S12" s="33" t="n">
        <f aca="false">IF(OR($C12="",12&lt;$D12,12&gt;$E12),0,$C12*(1+N($F12))^(12-$D12))</f>
        <v>0</v>
      </c>
      <c r="T12" s="33" t="n">
        <f aca="false">IF(OR($C12="",13&lt;$D12,13&gt;$E12),0,$C12*(1+N($F12))^(13-$D12))</f>
        <v>0</v>
      </c>
      <c r="U12" s="33" t="n">
        <f aca="false">IF(OR($C12="",14&lt;$D12,14&gt;$E12),0,$C12*(1+N($F12))^(14-$D12))</f>
        <v>0</v>
      </c>
      <c r="V12" s="33" t="n">
        <f aca="false">IF(OR($C12="",15&lt;$D12,15&gt;$E12),0,$C12*(1+N($F12))^(15-$D12))</f>
        <v>0</v>
      </c>
      <c r="W12" s="33" t="n">
        <f aca="false">IF(OR($C12="",16&lt;$D12,16&gt;$E12),0,$C12*(1+N($F12))^(16-$D12))</f>
        <v>0</v>
      </c>
      <c r="X12" s="33" t="n">
        <f aca="false">IF(OR($C12="",17&lt;$D12,17&gt;$E12),0,$C12*(1+N($F12))^(17-$D12))</f>
        <v>0</v>
      </c>
      <c r="Y12" s="33" t="n">
        <f aca="false">IF(OR($C12="",18&lt;$D12,18&gt;$E12),0,$C12*(1+N($F12))^(18-$D12))</f>
        <v>0</v>
      </c>
      <c r="Z12" s="33" t="n">
        <f aca="false">IF(OR($C12="",19&lt;$D12,19&gt;$E12),0,$C12*(1+N($F12))^(19-$D12))</f>
        <v>0</v>
      </c>
      <c r="AA12" s="33" t="n">
        <f aca="false">IF(OR($C12="",20&lt;$D12,20&gt;$E12),0,$C12*(1+N($F12))^(20-$D12))</f>
        <v>0</v>
      </c>
    </row>
    <row r="13" customFormat="false" ht="15" hidden="false" customHeight="false" outlineLevel="0" collapsed="false">
      <c r="A13" s="6"/>
      <c r="B13" s="6"/>
      <c r="C13" s="30"/>
      <c r="D13" s="31"/>
      <c r="E13" s="31"/>
      <c r="F13" s="32"/>
      <c r="G13" s="33" t="n">
        <f aca="false">IF(OR($C13="",0&lt;$D13,0&gt;$E13),0,$C13*(1+N($F13))^(0-$D13))</f>
        <v>0</v>
      </c>
      <c r="H13" s="33" t="n">
        <f aca="false">IF(OR($C13="",1&lt;$D13,1&gt;$E13),0,$C13*(1+N($F13))^(1-$D13))</f>
        <v>0</v>
      </c>
      <c r="I13" s="33" t="n">
        <f aca="false">IF(OR($C13="",2&lt;$D13,2&gt;$E13),0,$C13*(1+N($F13))^(2-$D13))</f>
        <v>0</v>
      </c>
      <c r="J13" s="33" t="n">
        <f aca="false">IF(OR($C13="",3&lt;$D13,3&gt;$E13),0,$C13*(1+N($F13))^(3-$D13))</f>
        <v>0</v>
      </c>
      <c r="K13" s="33" t="n">
        <f aca="false">IF(OR($C13="",4&lt;$D13,4&gt;$E13),0,$C13*(1+N($F13))^(4-$D13))</f>
        <v>0</v>
      </c>
      <c r="L13" s="33" t="n">
        <f aca="false">IF(OR($C13="",5&lt;$D13,5&gt;$E13),0,$C13*(1+N($F13))^(5-$D13))</f>
        <v>0</v>
      </c>
      <c r="M13" s="33" t="n">
        <f aca="false">IF(OR($C13="",6&lt;$D13,6&gt;$E13),0,$C13*(1+N($F13))^(6-$D13))</f>
        <v>0</v>
      </c>
      <c r="N13" s="33" t="n">
        <f aca="false">IF(OR($C13="",7&lt;$D13,7&gt;$E13),0,$C13*(1+N($F13))^(7-$D13))</f>
        <v>0</v>
      </c>
      <c r="O13" s="33" t="n">
        <f aca="false">IF(OR($C13="",8&lt;$D13,8&gt;$E13),0,$C13*(1+N($F13))^(8-$D13))</f>
        <v>0</v>
      </c>
      <c r="P13" s="33" t="n">
        <f aca="false">IF(OR($C13="",9&lt;$D13,9&gt;$E13),0,$C13*(1+N($F13))^(9-$D13))</f>
        <v>0</v>
      </c>
      <c r="Q13" s="33" t="n">
        <f aca="false">IF(OR($C13="",10&lt;$D13,10&gt;$E13),0,$C13*(1+N($F13))^(10-$D13))</f>
        <v>0</v>
      </c>
      <c r="R13" s="33" t="n">
        <f aca="false">IF(OR($C13="",11&lt;$D13,11&gt;$E13),0,$C13*(1+N($F13))^(11-$D13))</f>
        <v>0</v>
      </c>
      <c r="S13" s="33" t="n">
        <f aca="false">IF(OR($C13="",12&lt;$D13,12&gt;$E13),0,$C13*(1+N($F13))^(12-$D13))</f>
        <v>0</v>
      </c>
      <c r="T13" s="33" t="n">
        <f aca="false">IF(OR($C13="",13&lt;$D13,13&gt;$E13),0,$C13*(1+N($F13))^(13-$D13))</f>
        <v>0</v>
      </c>
      <c r="U13" s="33" t="n">
        <f aca="false">IF(OR($C13="",14&lt;$D13,14&gt;$E13),0,$C13*(1+N($F13))^(14-$D13))</f>
        <v>0</v>
      </c>
      <c r="V13" s="33" t="n">
        <f aca="false">IF(OR($C13="",15&lt;$D13,15&gt;$E13),0,$C13*(1+N($F13))^(15-$D13))</f>
        <v>0</v>
      </c>
      <c r="W13" s="33" t="n">
        <f aca="false">IF(OR($C13="",16&lt;$D13,16&gt;$E13),0,$C13*(1+N($F13))^(16-$D13))</f>
        <v>0</v>
      </c>
      <c r="X13" s="33" t="n">
        <f aca="false">IF(OR($C13="",17&lt;$D13,17&gt;$E13),0,$C13*(1+N($F13))^(17-$D13))</f>
        <v>0</v>
      </c>
      <c r="Y13" s="33" t="n">
        <f aca="false">IF(OR($C13="",18&lt;$D13,18&gt;$E13),0,$C13*(1+N($F13))^(18-$D13))</f>
        <v>0</v>
      </c>
      <c r="Z13" s="33" t="n">
        <f aca="false">IF(OR($C13="",19&lt;$D13,19&gt;$E13),0,$C13*(1+N($F13))^(19-$D13))</f>
        <v>0</v>
      </c>
      <c r="AA13" s="33" t="n">
        <f aca="false">IF(OR($C13="",20&lt;$D13,20&gt;$E13),0,$C13*(1+N($F13))^(20-$D13))</f>
        <v>0</v>
      </c>
    </row>
    <row r="14" customFormat="false" ht="15" hidden="false" customHeight="false" outlineLevel="0" collapsed="false">
      <c r="A14" s="6"/>
      <c r="B14" s="6"/>
      <c r="C14" s="30"/>
      <c r="D14" s="31"/>
      <c r="E14" s="31"/>
      <c r="F14" s="32"/>
      <c r="G14" s="33" t="n">
        <f aca="false">IF(OR($C14="",0&lt;$D14,0&gt;$E14),0,$C14*(1+N($F14))^(0-$D14))</f>
        <v>0</v>
      </c>
      <c r="H14" s="33" t="n">
        <f aca="false">IF(OR($C14="",1&lt;$D14,1&gt;$E14),0,$C14*(1+N($F14))^(1-$D14))</f>
        <v>0</v>
      </c>
      <c r="I14" s="33" t="n">
        <f aca="false">IF(OR($C14="",2&lt;$D14,2&gt;$E14),0,$C14*(1+N($F14))^(2-$D14))</f>
        <v>0</v>
      </c>
      <c r="J14" s="33" t="n">
        <f aca="false">IF(OR($C14="",3&lt;$D14,3&gt;$E14),0,$C14*(1+N($F14))^(3-$D14))</f>
        <v>0</v>
      </c>
      <c r="K14" s="33" t="n">
        <f aca="false">IF(OR($C14="",4&lt;$D14,4&gt;$E14),0,$C14*(1+N($F14))^(4-$D14))</f>
        <v>0</v>
      </c>
      <c r="L14" s="33" t="n">
        <f aca="false">IF(OR($C14="",5&lt;$D14,5&gt;$E14),0,$C14*(1+N($F14))^(5-$D14))</f>
        <v>0</v>
      </c>
      <c r="M14" s="33" t="n">
        <f aca="false">IF(OR($C14="",6&lt;$D14,6&gt;$E14),0,$C14*(1+N($F14))^(6-$D14))</f>
        <v>0</v>
      </c>
      <c r="N14" s="33" t="n">
        <f aca="false">IF(OR($C14="",7&lt;$D14,7&gt;$E14),0,$C14*(1+N($F14))^(7-$D14))</f>
        <v>0</v>
      </c>
      <c r="O14" s="33" t="n">
        <f aca="false">IF(OR($C14="",8&lt;$D14,8&gt;$E14),0,$C14*(1+N($F14))^(8-$D14))</f>
        <v>0</v>
      </c>
      <c r="P14" s="33" t="n">
        <f aca="false">IF(OR($C14="",9&lt;$D14,9&gt;$E14),0,$C14*(1+N($F14))^(9-$D14))</f>
        <v>0</v>
      </c>
      <c r="Q14" s="33" t="n">
        <f aca="false">IF(OR($C14="",10&lt;$D14,10&gt;$E14),0,$C14*(1+N($F14))^(10-$D14))</f>
        <v>0</v>
      </c>
      <c r="R14" s="33" t="n">
        <f aca="false">IF(OR($C14="",11&lt;$D14,11&gt;$E14),0,$C14*(1+N($F14))^(11-$D14))</f>
        <v>0</v>
      </c>
      <c r="S14" s="33" t="n">
        <f aca="false">IF(OR($C14="",12&lt;$D14,12&gt;$E14),0,$C14*(1+N($F14))^(12-$D14))</f>
        <v>0</v>
      </c>
      <c r="T14" s="33" t="n">
        <f aca="false">IF(OR($C14="",13&lt;$D14,13&gt;$E14),0,$C14*(1+N($F14))^(13-$D14))</f>
        <v>0</v>
      </c>
      <c r="U14" s="33" t="n">
        <f aca="false">IF(OR($C14="",14&lt;$D14,14&gt;$E14),0,$C14*(1+N($F14))^(14-$D14))</f>
        <v>0</v>
      </c>
      <c r="V14" s="33" t="n">
        <f aca="false">IF(OR($C14="",15&lt;$D14,15&gt;$E14),0,$C14*(1+N($F14))^(15-$D14))</f>
        <v>0</v>
      </c>
      <c r="W14" s="33" t="n">
        <f aca="false">IF(OR($C14="",16&lt;$D14,16&gt;$E14),0,$C14*(1+N($F14))^(16-$D14))</f>
        <v>0</v>
      </c>
      <c r="X14" s="33" t="n">
        <f aca="false">IF(OR($C14="",17&lt;$D14,17&gt;$E14),0,$C14*(1+N($F14))^(17-$D14))</f>
        <v>0</v>
      </c>
      <c r="Y14" s="33" t="n">
        <f aca="false">IF(OR($C14="",18&lt;$D14,18&gt;$E14),0,$C14*(1+N($F14))^(18-$D14))</f>
        <v>0</v>
      </c>
      <c r="Z14" s="33" t="n">
        <f aca="false">IF(OR($C14="",19&lt;$D14,19&gt;$E14),0,$C14*(1+N($F14))^(19-$D14))</f>
        <v>0</v>
      </c>
      <c r="AA14" s="33" t="n">
        <f aca="false">IF(OR($C14="",20&lt;$D14,20&gt;$E14),0,$C14*(1+N($F14))^(20-$D14))</f>
        <v>0</v>
      </c>
    </row>
    <row r="15" customFormat="false" ht="15" hidden="false" customHeight="false" outlineLevel="0" collapsed="false">
      <c r="A15" s="6"/>
      <c r="B15" s="6"/>
      <c r="C15" s="30"/>
      <c r="D15" s="31"/>
      <c r="E15" s="31"/>
      <c r="F15" s="32"/>
      <c r="G15" s="33" t="n">
        <f aca="false">IF(OR($C15="",0&lt;$D15,0&gt;$E15),0,$C15*(1+N($F15))^(0-$D15))</f>
        <v>0</v>
      </c>
      <c r="H15" s="33" t="n">
        <f aca="false">IF(OR($C15="",1&lt;$D15,1&gt;$E15),0,$C15*(1+N($F15))^(1-$D15))</f>
        <v>0</v>
      </c>
      <c r="I15" s="33" t="n">
        <f aca="false">IF(OR($C15="",2&lt;$D15,2&gt;$E15),0,$C15*(1+N($F15))^(2-$D15))</f>
        <v>0</v>
      </c>
      <c r="J15" s="33" t="n">
        <f aca="false">IF(OR($C15="",3&lt;$D15,3&gt;$E15),0,$C15*(1+N($F15))^(3-$D15))</f>
        <v>0</v>
      </c>
      <c r="K15" s="33" t="n">
        <f aca="false">IF(OR($C15="",4&lt;$D15,4&gt;$E15),0,$C15*(1+N($F15))^(4-$D15))</f>
        <v>0</v>
      </c>
      <c r="L15" s="33" t="n">
        <f aca="false">IF(OR($C15="",5&lt;$D15,5&gt;$E15),0,$C15*(1+N($F15))^(5-$D15))</f>
        <v>0</v>
      </c>
      <c r="M15" s="33" t="n">
        <f aca="false">IF(OR($C15="",6&lt;$D15,6&gt;$E15),0,$C15*(1+N($F15))^(6-$D15))</f>
        <v>0</v>
      </c>
      <c r="N15" s="33" t="n">
        <f aca="false">IF(OR($C15="",7&lt;$D15,7&gt;$E15),0,$C15*(1+N($F15))^(7-$D15))</f>
        <v>0</v>
      </c>
      <c r="O15" s="33" t="n">
        <f aca="false">IF(OR($C15="",8&lt;$D15,8&gt;$E15),0,$C15*(1+N($F15))^(8-$D15))</f>
        <v>0</v>
      </c>
      <c r="P15" s="33" t="n">
        <f aca="false">IF(OR($C15="",9&lt;$D15,9&gt;$E15),0,$C15*(1+N($F15))^(9-$D15))</f>
        <v>0</v>
      </c>
      <c r="Q15" s="33" t="n">
        <f aca="false">IF(OR($C15="",10&lt;$D15,10&gt;$E15),0,$C15*(1+N($F15))^(10-$D15))</f>
        <v>0</v>
      </c>
      <c r="R15" s="33" t="n">
        <f aca="false">IF(OR($C15="",11&lt;$D15,11&gt;$E15),0,$C15*(1+N($F15))^(11-$D15))</f>
        <v>0</v>
      </c>
      <c r="S15" s="33" t="n">
        <f aca="false">IF(OR($C15="",12&lt;$D15,12&gt;$E15),0,$C15*(1+N($F15))^(12-$D15))</f>
        <v>0</v>
      </c>
      <c r="T15" s="33" t="n">
        <f aca="false">IF(OR($C15="",13&lt;$D15,13&gt;$E15),0,$C15*(1+N($F15))^(13-$D15))</f>
        <v>0</v>
      </c>
      <c r="U15" s="33" t="n">
        <f aca="false">IF(OR($C15="",14&lt;$D15,14&gt;$E15),0,$C15*(1+N($F15))^(14-$D15))</f>
        <v>0</v>
      </c>
      <c r="V15" s="33" t="n">
        <f aca="false">IF(OR($C15="",15&lt;$D15,15&gt;$E15),0,$C15*(1+N($F15))^(15-$D15))</f>
        <v>0</v>
      </c>
      <c r="W15" s="33" t="n">
        <f aca="false">IF(OR($C15="",16&lt;$D15,16&gt;$E15),0,$C15*(1+N($F15))^(16-$D15))</f>
        <v>0</v>
      </c>
      <c r="X15" s="33" t="n">
        <f aca="false">IF(OR($C15="",17&lt;$D15,17&gt;$E15),0,$C15*(1+N($F15))^(17-$D15))</f>
        <v>0</v>
      </c>
      <c r="Y15" s="33" t="n">
        <f aca="false">IF(OR($C15="",18&lt;$D15,18&gt;$E15),0,$C15*(1+N($F15))^(18-$D15))</f>
        <v>0</v>
      </c>
      <c r="Z15" s="33" t="n">
        <f aca="false">IF(OR($C15="",19&lt;$D15,19&gt;$E15),0,$C15*(1+N($F15))^(19-$D15))</f>
        <v>0</v>
      </c>
      <c r="AA15" s="33" t="n">
        <f aca="false">IF(OR($C15="",20&lt;$D15,20&gt;$E15),0,$C15*(1+N($F15))^(20-$D15))</f>
        <v>0</v>
      </c>
    </row>
    <row r="16" customFormat="false" ht="15" hidden="false" customHeight="false" outlineLevel="0" collapsed="false">
      <c r="A16" s="6"/>
      <c r="B16" s="6"/>
      <c r="C16" s="30"/>
      <c r="D16" s="31"/>
      <c r="E16" s="31"/>
      <c r="F16" s="32"/>
      <c r="G16" s="33" t="n">
        <f aca="false">IF(OR($C16="",0&lt;$D16,0&gt;$E16),0,$C16*(1+N($F16))^(0-$D16))</f>
        <v>0</v>
      </c>
      <c r="H16" s="33" t="n">
        <f aca="false">IF(OR($C16="",1&lt;$D16,1&gt;$E16),0,$C16*(1+N($F16))^(1-$D16))</f>
        <v>0</v>
      </c>
      <c r="I16" s="33" t="n">
        <f aca="false">IF(OR($C16="",2&lt;$D16,2&gt;$E16),0,$C16*(1+N($F16))^(2-$D16))</f>
        <v>0</v>
      </c>
      <c r="J16" s="33" t="n">
        <f aca="false">IF(OR($C16="",3&lt;$D16,3&gt;$E16),0,$C16*(1+N($F16))^(3-$D16))</f>
        <v>0</v>
      </c>
      <c r="K16" s="33" t="n">
        <f aca="false">IF(OR($C16="",4&lt;$D16,4&gt;$E16),0,$C16*(1+N($F16))^(4-$D16))</f>
        <v>0</v>
      </c>
      <c r="L16" s="33" t="n">
        <f aca="false">IF(OR($C16="",5&lt;$D16,5&gt;$E16),0,$C16*(1+N($F16))^(5-$D16))</f>
        <v>0</v>
      </c>
      <c r="M16" s="33" t="n">
        <f aca="false">IF(OR($C16="",6&lt;$D16,6&gt;$E16),0,$C16*(1+N($F16))^(6-$D16))</f>
        <v>0</v>
      </c>
      <c r="N16" s="33" t="n">
        <f aca="false">IF(OR($C16="",7&lt;$D16,7&gt;$E16),0,$C16*(1+N($F16))^(7-$D16))</f>
        <v>0</v>
      </c>
      <c r="O16" s="33" t="n">
        <f aca="false">IF(OR($C16="",8&lt;$D16,8&gt;$E16),0,$C16*(1+N($F16))^(8-$D16))</f>
        <v>0</v>
      </c>
      <c r="P16" s="33" t="n">
        <f aca="false">IF(OR($C16="",9&lt;$D16,9&gt;$E16),0,$C16*(1+N($F16))^(9-$D16))</f>
        <v>0</v>
      </c>
      <c r="Q16" s="33" t="n">
        <f aca="false">IF(OR($C16="",10&lt;$D16,10&gt;$E16),0,$C16*(1+N($F16))^(10-$D16))</f>
        <v>0</v>
      </c>
      <c r="R16" s="33" t="n">
        <f aca="false">IF(OR($C16="",11&lt;$D16,11&gt;$E16),0,$C16*(1+N($F16))^(11-$D16))</f>
        <v>0</v>
      </c>
      <c r="S16" s="33" t="n">
        <f aca="false">IF(OR($C16="",12&lt;$D16,12&gt;$E16),0,$C16*(1+N($F16))^(12-$D16))</f>
        <v>0</v>
      </c>
      <c r="T16" s="33" t="n">
        <f aca="false">IF(OR($C16="",13&lt;$D16,13&gt;$E16),0,$C16*(1+N($F16))^(13-$D16))</f>
        <v>0</v>
      </c>
      <c r="U16" s="33" t="n">
        <f aca="false">IF(OR($C16="",14&lt;$D16,14&gt;$E16),0,$C16*(1+N($F16))^(14-$D16))</f>
        <v>0</v>
      </c>
      <c r="V16" s="33" t="n">
        <f aca="false">IF(OR($C16="",15&lt;$D16,15&gt;$E16),0,$C16*(1+N($F16))^(15-$D16))</f>
        <v>0</v>
      </c>
      <c r="W16" s="33" t="n">
        <f aca="false">IF(OR($C16="",16&lt;$D16,16&gt;$E16),0,$C16*(1+N($F16))^(16-$D16))</f>
        <v>0</v>
      </c>
      <c r="X16" s="33" t="n">
        <f aca="false">IF(OR($C16="",17&lt;$D16,17&gt;$E16),0,$C16*(1+N($F16))^(17-$D16))</f>
        <v>0</v>
      </c>
      <c r="Y16" s="33" t="n">
        <f aca="false">IF(OR($C16="",18&lt;$D16,18&gt;$E16),0,$C16*(1+N($F16))^(18-$D16))</f>
        <v>0</v>
      </c>
      <c r="Z16" s="33" t="n">
        <f aca="false">IF(OR($C16="",19&lt;$D16,19&gt;$E16),0,$C16*(1+N($F16))^(19-$D16))</f>
        <v>0</v>
      </c>
      <c r="AA16" s="33" t="n">
        <f aca="false">IF(OR($C16="",20&lt;$D16,20&gt;$E16),0,$C16*(1+N($F16))^(20-$D16))</f>
        <v>0</v>
      </c>
    </row>
    <row r="17" customFormat="false" ht="15" hidden="false" customHeight="false" outlineLevel="0" collapsed="false">
      <c r="A17" s="6"/>
      <c r="B17" s="6"/>
      <c r="C17" s="30"/>
      <c r="D17" s="31"/>
      <c r="E17" s="31"/>
      <c r="F17" s="32"/>
      <c r="G17" s="33" t="n">
        <f aca="false">IF(OR($C17="",0&lt;$D17,0&gt;$E17),0,$C17*(1+N($F17))^(0-$D17))</f>
        <v>0</v>
      </c>
      <c r="H17" s="33" t="n">
        <f aca="false">IF(OR($C17="",1&lt;$D17,1&gt;$E17),0,$C17*(1+N($F17))^(1-$D17))</f>
        <v>0</v>
      </c>
      <c r="I17" s="33" t="n">
        <f aca="false">IF(OR($C17="",2&lt;$D17,2&gt;$E17),0,$C17*(1+N($F17))^(2-$D17))</f>
        <v>0</v>
      </c>
      <c r="J17" s="33" t="n">
        <f aca="false">IF(OR($C17="",3&lt;$D17,3&gt;$E17),0,$C17*(1+N($F17))^(3-$D17))</f>
        <v>0</v>
      </c>
      <c r="K17" s="33" t="n">
        <f aca="false">IF(OR($C17="",4&lt;$D17,4&gt;$E17),0,$C17*(1+N($F17))^(4-$D17))</f>
        <v>0</v>
      </c>
      <c r="L17" s="33" t="n">
        <f aca="false">IF(OR($C17="",5&lt;$D17,5&gt;$E17),0,$C17*(1+N($F17))^(5-$D17))</f>
        <v>0</v>
      </c>
      <c r="M17" s="33" t="n">
        <f aca="false">IF(OR($C17="",6&lt;$D17,6&gt;$E17),0,$C17*(1+N($F17))^(6-$D17))</f>
        <v>0</v>
      </c>
      <c r="N17" s="33" t="n">
        <f aca="false">IF(OR($C17="",7&lt;$D17,7&gt;$E17),0,$C17*(1+N($F17))^(7-$D17))</f>
        <v>0</v>
      </c>
      <c r="O17" s="33" t="n">
        <f aca="false">IF(OR($C17="",8&lt;$D17,8&gt;$E17),0,$C17*(1+N($F17))^(8-$D17))</f>
        <v>0</v>
      </c>
      <c r="P17" s="33" t="n">
        <f aca="false">IF(OR($C17="",9&lt;$D17,9&gt;$E17),0,$C17*(1+N($F17))^(9-$D17))</f>
        <v>0</v>
      </c>
      <c r="Q17" s="33" t="n">
        <f aca="false">IF(OR($C17="",10&lt;$D17,10&gt;$E17),0,$C17*(1+N($F17))^(10-$D17))</f>
        <v>0</v>
      </c>
      <c r="R17" s="33" t="n">
        <f aca="false">IF(OR($C17="",11&lt;$D17,11&gt;$E17),0,$C17*(1+N($F17))^(11-$D17))</f>
        <v>0</v>
      </c>
      <c r="S17" s="33" t="n">
        <f aca="false">IF(OR($C17="",12&lt;$D17,12&gt;$E17),0,$C17*(1+N($F17))^(12-$D17))</f>
        <v>0</v>
      </c>
      <c r="T17" s="33" t="n">
        <f aca="false">IF(OR($C17="",13&lt;$D17,13&gt;$E17),0,$C17*(1+N($F17))^(13-$D17))</f>
        <v>0</v>
      </c>
      <c r="U17" s="33" t="n">
        <f aca="false">IF(OR($C17="",14&lt;$D17,14&gt;$E17),0,$C17*(1+N($F17))^(14-$D17))</f>
        <v>0</v>
      </c>
      <c r="V17" s="33" t="n">
        <f aca="false">IF(OR($C17="",15&lt;$D17,15&gt;$E17),0,$C17*(1+N($F17))^(15-$D17))</f>
        <v>0</v>
      </c>
      <c r="W17" s="33" t="n">
        <f aca="false">IF(OR($C17="",16&lt;$D17,16&gt;$E17),0,$C17*(1+N($F17))^(16-$D17))</f>
        <v>0</v>
      </c>
      <c r="X17" s="33" t="n">
        <f aca="false">IF(OR($C17="",17&lt;$D17,17&gt;$E17),0,$C17*(1+N($F17))^(17-$D17))</f>
        <v>0</v>
      </c>
      <c r="Y17" s="33" t="n">
        <f aca="false">IF(OR($C17="",18&lt;$D17,18&gt;$E17),0,$C17*(1+N($F17))^(18-$D17))</f>
        <v>0</v>
      </c>
      <c r="Z17" s="33" t="n">
        <f aca="false">IF(OR($C17="",19&lt;$D17,19&gt;$E17),0,$C17*(1+N($F17))^(19-$D17))</f>
        <v>0</v>
      </c>
      <c r="AA17" s="33" t="n">
        <f aca="false">IF(OR($C17="",20&lt;$D17,20&gt;$E17),0,$C17*(1+N($F17))^(20-$D17))</f>
        <v>0</v>
      </c>
    </row>
    <row r="18" customFormat="false" ht="15" hidden="false" customHeight="false" outlineLevel="0" collapsed="false">
      <c r="A18" s="6"/>
      <c r="B18" s="6"/>
      <c r="C18" s="30"/>
      <c r="D18" s="31"/>
      <c r="E18" s="31"/>
      <c r="F18" s="32"/>
      <c r="G18" s="33" t="n">
        <f aca="false">IF(OR($C18="",0&lt;$D18,0&gt;$E18),0,$C18*(1+N($F18))^(0-$D18))</f>
        <v>0</v>
      </c>
      <c r="H18" s="33" t="n">
        <f aca="false">IF(OR($C18="",1&lt;$D18,1&gt;$E18),0,$C18*(1+N($F18))^(1-$D18))</f>
        <v>0</v>
      </c>
      <c r="I18" s="33" t="n">
        <f aca="false">IF(OR($C18="",2&lt;$D18,2&gt;$E18),0,$C18*(1+N($F18))^(2-$D18))</f>
        <v>0</v>
      </c>
      <c r="J18" s="33" t="n">
        <f aca="false">IF(OR($C18="",3&lt;$D18,3&gt;$E18),0,$C18*(1+N($F18))^(3-$D18))</f>
        <v>0</v>
      </c>
      <c r="K18" s="33" t="n">
        <f aca="false">IF(OR($C18="",4&lt;$D18,4&gt;$E18),0,$C18*(1+N($F18))^(4-$D18))</f>
        <v>0</v>
      </c>
      <c r="L18" s="33" t="n">
        <f aca="false">IF(OR($C18="",5&lt;$D18,5&gt;$E18),0,$C18*(1+N($F18))^(5-$D18))</f>
        <v>0</v>
      </c>
      <c r="M18" s="33" t="n">
        <f aca="false">IF(OR($C18="",6&lt;$D18,6&gt;$E18),0,$C18*(1+N($F18))^(6-$D18))</f>
        <v>0</v>
      </c>
      <c r="N18" s="33" t="n">
        <f aca="false">IF(OR($C18="",7&lt;$D18,7&gt;$E18),0,$C18*(1+N($F18))^(7-$D18))</f>
        <v>0</v>
      </c>
      <c r="O18" s="33" t="n">
        <f aca="false">IF(OR($C18="",8&lt;$D18,8&gt;$E18),0,$C18*(1+N($F18))^(8-$D18))</f>
        <v>0</v>
      </c>
      <c r="P18" s="33" t="n">
        <f aca="false">IF(OR($C18="",9&lt;$D18,9&gt;$E18),0,$C18*(1+N($F18))^(9-$D18))</f>
        <v>0</v>
      </c>
      <c r="Q18" s="33" t="n">
        <f aca="false">IF(OR($C18="",10&lt;$D18,10&gt;$E18),0,$C18*(1+N($F18))^(10-$D18))</f>
        <v>0</v>
      </c>
      <c r="R18" s="33" t="n">
        <f aca="false">IF(OR($C18="",11&lt;$D18,11&gt;$E18),0,$C18*(1+N($F18))^(11-$D18))</f>
        <v>0</v>
      </c>
      <c r="S18" s="33" t="n">
        <f aca="false">IF(OR($C18="",12&lt;$D18,12&gt;$E18),0,$C18*(1+N($F18))^(12-$D18))</f>
        <v>0</v>
      </c>
      <c r="T18" s="33" t="n">
        <f aca="false">IF(OR($C18="",13&lt;$D18,13&gt;$E18),0,$C18*(1+N($F18))^(13-$D18))</f>
        <v>0</v>
      </c>
      <c r="U18" s="33" t="n">
        <f aca="false">IF(OR($C18="",14&lt;$D18,14&gt;$E18),0,$C18*(1+N($F18))^(14-$D18))</f>
        <v>0</v>
      </c>
      <c r="V18" s="33" t="n">
        <f aca="false">IF(OR($C18="",15&lt;$D18,15&gt;$E18),0,$C18*(1+N($F18))^(15-$D18))</f>
        <v>0</v>
      </c>
      <c r="W18" s="33" t="n">
        <f aca="false">IF(OR($C18="",16&lt;$D18,16&gt;$E18),0,$C18*(1+N($F18))^(16-$D18))</f>
        <v>0</v>
      </c>
      <c r="X18" s="33" t="n">
        <f aca="false">IF(OR($C18="",17&lt;$D18,17&gt;$E18),0,$C18*(1+N($F18))^(17-$D18))</f>
        <v>0</v>
      </c>
      <c r="Y18" s="33" t="n">
        <f aca="false">IF(OR($C18="",18&lt;$D18,18&gt;$E18),0,$C18*(1+N($F18))^(18-$D18))</f>
        <v>0</v>
      </c>
      <c r="Z18" s="33" t="n">
        <f aca="false">IF(OR($C18="",19&lt;$D18,19&gt;$E18),0,$C18*(1+N($F18))^(19-$D18))</f>
        <v>0</v>
      </c>
      <c r="AA18" s="33" t="n">
        <f aca="false">IF(OR($C18="",20&lt;$D18,20&gt;$E18),0,$C18*(1+N($F18))^(20-$D18))</f>
        <v>0</v>
      </c>
    </row>
    <row r="19" customFormat="false" ht="15" hidden="false" customHeight="false" outlineLevel="0" collapsed="false">
      <c r="A19" s="6"/>
      <c r="B19" s="6"/>
      <c r="C19" s="30"/>
      <c r="D19" s="31"/>
      <c r="E19" s="31"/>
      <c r="F19" s="32"/>
      <c r="G19" s="33" t="n">
        <f aca="false">IF(OR($C19="",0&lt;$D19,0&gt;$E19),0,$C19*(1+N($F19))^(0-$D19))</f>
        <v>0</v>
      </c>
      <c r="H19" s="33" t="n">
        <f aca="false">IF(OR($C19="",1&lt;$D19,1&gt;$E19),0,$C19*(1+N($F19))^(1-$D19))</f>
        <v>0</v>
      </c>
      <c r="I19" s="33" t="n">
        <f aca="false">IF(OR($C19="",2&lt;$D19,2&gt;$E19),0,$C19*(1+N($F19))^(2-$D19))</f>
        <v>0</v>
      </c>
      <c r="J19" s="33" t="n">
        <f aca="false">IF(OR($C19="",3&lt;$D19,3&gt;$E19),0,$C19*(1+N($F19))^(3-$D19))</f>
        <v>0</v>
      </c>
      <c r="K19" s="33" t="n">
        <f aca="false">IF(OR($C19="",4&lt;$D19,4&gt;$E19),0,$C19*(1+N($F19))^(4-$D19))</f>
        <v>0</v>
      </c>
      <c r="L19" s="33" t="n">
        <f aca="false">IF(OR($C19="",5&lt;$D19,5&gt;$E19),0,$C19*(1+N($F19))^(5-$D19))</f>
        <v>0</v>
      </c>
      <c r="M19" s="33" t="n">
        <f aca="false">IF(OR($C19="",6&lt;$D19,6&gt;$E19),0,$C19*(1+N($F19))^(6-$D19))</f>
        <v>0</v>
      </c>
      <c r="N19" s="33" t="n">
        <f aca="false">IF(OR($C19="",7&lt;$D19,7&gt;$E19),0,$C19*(1+N($F19))^(7-$D19))</f>
        <v>0</v>
      </c>
      <c r="O19" s="33" t="n">
        <f aca="false">IF(OR($C19="",8&lt;$D19,8&gt;$E19),0,$C19*(1+N($F19))^(8-$D19))</f>
        <v>0</v>
      </c>
      <c r="P19" s="33" t="n">
        <f aca="false">IF(OR($C19="",9&lt;$D19,9&gt;$E19),0,$C19*(1+N($F19))^(9-$D19))</f>
        <v>0</v>
      </c>
      <c r="Q19" s="33" t="n">
        <f aca="false">IF(OR($C19="",10&lt;$D19,10&gt;$E19),0,$C19*(1+N($F19))^(10-$D19))</f>
        <v>0</v>
      </c>
      <c r="R19" s="33" t="n">
        <f aca="false">IF(OR($C19="",11&lt;$D19,11&gt;$E19),0,$C19*(1+N($F19))^(11-$D19))</f>
        <v>0</v>
      </c>
      <c r="S19" s="33" t="n">
        <f aca="false">IF(OR($C19="",12&lt;$D19,12&gt;$E19),0,$C19*(1+N($F19))^(12-$D19))</f>
        <v>0</v>
      </c>
      <c r="T19" s="33" t="n">
        <f aca="false">IF(OR($C19="",13&lt;$D19,13&gt;$E19),0,$C19*(1+N($F19))^(13-$D19))</f>
        <v>0</v>
      </c>
      <c r="U19" s="33" t="n">
        <f aca="false">IF(OR($C19="",14&lt;$D19,14&gt;$E19),0,$C19*(1+N($F19))^(14-$D19))</f>
        <v>0</v>
      </c>
      <c r="V19" s="33" t="n">
        <f aca="false">IF(OR($C19="",15&lt;$D19,15&gt;$E19),0,$C19*(1+N($F19))^(15-$D19))</f>
        <v>0</v>
      </c>
      <c r="W19" s="33" t="n">
        <f aca="false">IF(OR($C19="",16&lt;$D19,16&gt;$E19),0,$C19*(1+N($F19))^(16-$D19))</f>
        <v>0</v>
      </c>
      <c r="X19" s="33" t="n">
        <f aca="false">IF(OR($C19="",17&lt;$D19,17&gt;$E19),0,$C19*(1+N($F19))^(17-$D19))</f>
        <v>0</v>
      </c>
      <c r="Y19" s="33" t="n">
        <f aca="false">IF(OR($C19="",18&lt;$D19,18&gt;$E19),0,$C19*(1+N($F19))^(18-$D19))</f>
        <v>0</v>
      </c>
      <c r="Z19" s="33" t="n">
        <f aca="false">IF(OR($C19="",19&lt;$D19,19&gt;$E19),0,$C19*(1+N($F19))^(19-$D19))</f>
        <v>0</v>
      </c>
      <c r="AA19" s="33" t="n">
        <f aca="false">IF(OR($C19="",20&lt;$D19,20&gt;$E19),0,$C19*(1+N($F19))^(20-$D19))</f>
        <v>0</v>
      </c>
    </row>
    <row r="20" customFormat="false" ht="15" hidden="false" customHeight="false" outlineLevel="0" collapsed="false">
      <c r="A20" s="6"/>
      <c r="B20" s="6"/>
      <c r="C20" s="30"/>
      <c r="D20" s="31"/>
      <c r="E20" s="31"/>
      <c r="F20" s="32"/>
      <c r="G20" s="33" t="n">
        <f aca="false">IF(OR($C20="",0&lt;$D20,0&gt;$E20),0,$C20*(1+N($F20))^(0-$D20))</f>
        <v>0</v>
      </c>
      <c r="H20" s="33" t="n">
        <f aca="false">IF(OR($C20="",1&lt;$D20,1&gt;$E20),0,$C20*(1+N($F20))^(1-$D20))</f>
        <v>0</v>
      </c>
      <c r="I20" s="33" t="n">
        <f aca="false">IF(OR($C20="",2&lt;$D20,2&gt;$E20),0,$C20*(1+N($F20))^(2-$D20))</f>
        <v>0</v>
      </c>
      <c r="J20" s="33" t="n">
        <f aca="false">IF(OR($C20="",3&lt;$D20,3&gt;$E20),0,$C20*(1+N($F20))^(3-$D20))</f>
        <v>0</v>
      </c>
      <c r="K20" s="33" t="n">
        <f aca="false">IF(OR($C20="",4&lt;$D20,4&gt;$E20),0,$C20*(1+N($F20))^(4-$D20))</f>
        <v>0</v>
      </c>
      <c r="L20" s="33" t="n">
        <f aca="false">IF(OR($C20="",5&lt;$D20,5&gt;$E20),0,$C20*(1+N($F20))^(5-$D20))</f>
        <v>0</v>
      </c>
      <c r="M20" s="33" t="n">
        <f aca="false">IF(OR($C20="",6&lt;$D20,6&gt;$E20),0,$C20*(1+N($F20))^(6-$D20))</f>
        <v>0</v>
      </c>
      <c r="N20" s="33" t="n">
        <f aca="false">IF(OR($C20="",7&lt;$D20,7&gt;$E20),0,$C20*(1+N($F20))^(7-$D20))</f>
        <v>0</v>
      </c>
      <c r="O20" s="33" t="n">
        <f aca="false">IF(OR($C20="",8&lt;$D20,8&gt;$E20),0,$C20*(1+N($F20))^(8-$D20))</f>
        <v>0</v>
      </c>
      <c r="P20" s="33" t="n">
        <f aca="false">IF(OR($C20="",9&lt;$D20,9&gt;$E20),0,$C20*(1+N($F20))^(9-$D20))</f>
        <v>0</v>
      </c>
      <c r="Q20" s="33" t="n">
        <f aca="false">IF(OR($C20="",10&lt;$D20,10&gt;$E20),0,$C20*(1+N($F20))^(10-$D20))</f>
        <v>0</v>
      </c>
      <c r="R20" s="33" t="n">
        <f aca="false">IF(OR($C20="",11&lt;$D20,11&gt;$E20),0,$C20*(1+N($F20))^(11-$D20))</f>
        <v>0</v>
      </c>
      <c r="S20" s="33" t="n">
        <f aca="false">IF(OR($C20="",12&lt;$D20,12&gt;$E20),0,$C20*(1+N($F20))^(12-$D20))</f>
        <v>0</v>
      </c>
      <c r="T20" s="33" t="n">
        <f aca="false">IF(OR($C20="",13&lt;$D20,13&gt;$E20),0,$C20*(1+N($F20))^(13-$D20))</f>
        <v>0</v>
      </c>
      <c r="U20" s="33" t="n">
        <f aca="false">IF(OR($C20="",14&lt;$D20,14&gt;$E20),0,$C20*(1+N($F20))^(14-$D20))</f>
        <v>0</v>
      </c>
      <c r="V20" s="33" t="n">
        <f aca="false">IF(OR($C20="",15&lt;$D20,15&gt;$E20),0,$C20*(1+N($F20))^(15-$D20))</f>
        <v>0</v>
      </c>
      <c r="W20" s="33" t="n">
        <f aca="false">IF(OR($C20="",16&lt;$D20,16&gt;$E20),0,$C20*(1+N($F20))^(16-$D20))</f>
        <v>0</v>
      </c>
      <c r="X20" s="33" t="n">
        <f aca="false">IF(OR($C20="",17&lt;$D20,17&gt;$E20),0,$C20*(1+N($F20))^(17-$D20))</f>
        <v>0</v>
      </c>
      <c r="Y20" s="33" t="n">
        <f aca="false">IF(OR($C20="",18&lt;$D20,18&gt;$E20),0,$C20*(1+N($F20))^(18-$D20))</f>
        <v>0</v>
      </c>
      <c r="Z20" s="33" t="n">
        <f aca="false">IF(OR($C20="",19&lt;$D20,19&gt;$E20),0,$C20*(1+N($F20))^(19-$D20))</f>
        <v>0</v>
      </c>
      <c r="AA20" s="33" t="n">
        <f aca="false">IF(OR($C20="",20&lt;$D20,20&gt;$E20),0,$C20*(1+N($F20))^(20-$D20))</f>
        <v>0</v>
      </c>
    </row>
    <row r="21" customFormat="false" ht="15" hidden="false" customHeight="false" outlineLevel="0" collapsed="false">
      <c r="A21" s="6"/>
      <c r="B21" s="6"/>
      <c r="C21" s="30"/>
      <c r="D21" s="31"/>
      <c r="E21" s="31"/>
      <c r="F21" s="32"/>
      <c r="G21" s="33" t="n">
        <f aca="false">IF(OR($C21="",0&lt;$D21,0&gt;$E21),0,$C21*(1+N($F21))^(0-$D21))</f>
        <v>0</v>
      </c>
      <c r="H21" s="33" t="n">
        <f aca="false">IF(OR($C21="",1&lt;$D21,1&gt;$E21),0,$C21*(1+N($F21))^(1-$D21))</f>
        <v>0</v>
      </c>
      <c r="I21" s="33" t="n">
        <f aca="false">IF(OR($C21="",2&lt;$D21,2&gt;$E21),0,$C21*(1+N($F21))^(2-$D21))</f>
        <v>0</v>
      </c>
      <c r="J21" s="33" t="n">
        <f aca="false">IF(OR($C21="",3&lt;$D21,3&gt;$E21),0,$C21*(1+N($F21))^(3-$D21))</f>
        <v>0</v>
      </c>
      <c r="K21" s="33" t="n">
        <f aca="false">IF(OR($C21="",4&lt;$D21,4&gt;$E21),0,$C21*(1+N($F21))^(4-$D21))</f>
        <v>0</v>
      </c>
      <c r="L21" s="33" t="n">
        <f aca="false">IF(OR($C21="",5&lt;$D21,5&gt;$E21),0,$C21*(1+N($F21))^(5-$D21))</f>
        <v>0</v>
      </c>
      <c r="M21" s="33" t="n">
        <f aca="false">IF(OR($C21="",6&lt;$D21,6&gt;$E21),0,$C21*(1+N($F21))^(6-$D21))</f>
        <v>0</v>
      </c>
      <c r="N21" s="33" t="n">
        <f aca="false">IF(OR($C21="",7&lt;$D21,7&gt;$E21),0,$C21*(1+N($F21))^(7-$D21))</f>
        <v>0</v>
      </c>
      <c r="O21" s="33" t="n">
        <f aca="false">IF(OR($C21="",8&lt;$D21,8&gt;$E21),0,$C21*(1+N($F21))^(8-$D21))</f>
        <v>0</v>
      </c>
      <c r="P21" s="33" t="n">
        <f aca="false">IF(OR($C21="",9&lt;$D21,9&gt;$E21),0,$C21*(1+N($F21))^(9-$D21))</f>
        <v>0</v>
      </c>
      <c r="Q21" s="33" t="n">
        <f aca="false">IF(OR($C21="",10&lt;$D21,10&gt;$E21),0,$C21*(1+N($F21))^(10-$D21))</f>
        <v>0</v>
      </c>
      <c r="R21" s="33" t="n">
        <f aca="false">IF(OR($C21="",11&lt;$D21,11&gt;$E21),0,$C21*(1+N($F21))^(11-$D21))</f>
        <v>0</v>
      </c>
      <c r="S21" s="33" t="n">
        <f aca="false">IF(OR($C21="",12&lt;$D21,12&gt;$E21),0,$C21*(1+N($F21))^(12-$D21))</f>
        <v>0</v>
      </c>
      <c r="T21" s="33" t="n">
        <f aca="false">IF(OR($C21="",13&lt;$D21,13&gt;$E21),0,$C21*(1+N($F21))^(13-$D21))</f>
        <v>0</v>
      </c>
      <c r="U21" s="33" t="n">
        <f aca="false">IF(OR($C21="",14&lt;$D21,14&gt;$E21),0,$C21*(1+N($F21))^(14-$D21))</f>
        <v>0</v>
      </c>
      <c r="V21" s="33" t="n">
        <f aca="false">IF(OR($C21="",15&lt;$D21,15&gt;$E21),0,$C21*(1+N($F21))^(15-$D21))</f>
        <v>0</v>
      </c>
      <c r="W21" s="33" t="n">
        <f aca="false">IF(OR($C21="",16&lt;$D21,16&gt;$E21),0,$C21*(1+N($F21))^(16-$D21))</f>
        <v>0</v>
      </c>
      <c r="X21" s="33" t="n">
        <f aca="false">IF(OR($C21="",17&lt;$D21,17&gt;$E21),0,$C21*(1+N($F21))^(17-$D21))</f>
        <v>0</v>
      </c>
      <c r="Y21" s="33" t="n">
        <f aca="false">IF(OR($C21="",18&lt;$D21,18&gt;$E21),0,$C21*(1+N($F21))^(18-$D21))</f>
        <v>0</v>
      </c>
      <c r="Z21" s="33" t="n">
        <f aca="false">IF(OR($C21="",19&lt;$D21,19&gt;$E21),0,$C21*(1+N($F21))^(19-$D21))</f>
        <v>0</v>
      </c>
      <c r="AA21" s="33" t="n">
        <f aca="false">IF(OR($C21="",20&lt;$D21,20&gt;$E21),0,$C21*(1+N($F21))^(20-$D21))</f>
        <v>0</v>
      </c>
    </row>
    <row r="22" customFormat="false" ht="15" hidden="false" customHeight="false" outlineLevel="0" collapsed="false">
      <c r="A22" s="6"/>
      <c r="B22" s="6"/>
      <c r="C22" s="30"/>
      <c r="D22" s="31"/>
      <c r="E22" s="31"/>
      <c r="F22" s="32"/>
      <c r="G22" s="33" t="n">
        <f aca="false">IF(OR($C22="",0&lt;$D22,0&gt;$E22),0,$C22*(1+N($F22))^(0-$D22))</f>
        <v>0</v>
      </c>
      <c r="H22" s="33" t="n">
        <f aca="false">IF(OR($C22="",1&lt;$D22,1&gt;$E22),0,$C22*(1+N($F22))^(1-$D22))</f>
        <v>0</v>
      </c>
      <c r="I22" s="33" t="n">
        <f aca="false">IF(OR($C22="",2&lt;$D22,2&gt;$E22),0,$C22*(1+N($F22))^(2-$D22))</f>
        <v>0</v>
      </c>
      <c r="J22" s="33" t="n">
        <f aca="false">IF(OR($C22="",3&lt;$D22,3&gt;$E22),0,$C22*(1+N($F22))^(3-$D22))</f>
        <v>0</v>
      </c>
      <c r="K22" s="33" t="n">
        <f aca="false">IF(OR($C22="",4&lt;$D22,4&gt;$E22),0,$C22*(1+N($F22))^(4-$D22))</f>
        <v>0</v>
      </c>
      <c r="L22" s="33" t="n">
        <f aca="false">IF(OR($C22="",5&lt;$D22,5&gt;$E22),0,$C22*(1+N($F22))^(5-$D22))</f>
        <v>0</v>
      </c>
      <c r="M22" s="33" t="n">
        <f aca="false">IF(OR($C22="",6&lt;$D22,6&gt;$E22),0,$C22*(1+N($F22))^(6-$D22))</f>
        <v>0</v>
      </c>
      <c r="N22" s="33" t="n">
        <f aca="false">IF(OR($C22="",7&lt;$D22,7&gt;$E22),0,$C22*(1+N($F22))^(7-$D22))</f>
        <v>0</v>
      </c>
      <c r="O22" s="33" t="n">
        <f aca="false">IF(OR($C22="",8&lt;$D22,8&gt;$E22),0,$C22*(1+N($F22))^(8-$D22))</f>
        <v>0</v>
      </c>
      <c r="P22" s="33" t="n">
        <f aca="false">IF(OR($C22="",9&lt;$D22,9&gt;$E22),0,$C22*(1+N($F22))^(9-$D22))</f>
        <v>0</v>
      </c>
      <c r="Q22" s="33" t="n">
        <f aca="false">IF(OR($C22="",10&lt;$D22,10&gt;$E22),0,$C22*(1+N($F22))^(10-$D22))</f>
        <v>0</v>
      </c>
      <c r="R22" s="33" t="n">
        <f aca="false">IF(OR($C22="",11&lt;$D22,11&gt;$E22),0,$C22*(1+N($F22))^(11-$D22))</f>
        <v>0</v>
      </c>
      <c r="S22" s="33" t="n">
        <f aca="false">IF(OR($C22="",12&lt;$D22,12&gt;$E22),0,$C22*(1+N($F22))^(12-$D22))</f>
        <v>0</v>
      </c>
      <c r="T22" s="33" t="n">
        <f aca="false">IF(OR($C22="",13&lt;$D22,13&gt;$E22),0,$C22*(1+N($F22))^(13-$D22))</f>
        <v>0</v>
      </c>
      <c r="U22" s="33" t="n">
        <f aca="false">IF(OR($C22="",14&lt;$D22,14&gt;$E22),0,$C22*(1+N($F22))^(14-$D22))</f>
        <v>0</v>
      </c>
      <c r="V22" s="33" t="n">
        <f aca="false">IF(OR($C22="",15&lt;$D22,15&gt;$E22),0,$C22*(1+N($F22))^(15-$D22))</f>
        <v>0</v>
      </c>
      <c r="W22" s="33" t="n">
        <f aca="false">IF(OR($C22="",16&lt;$D22,16&gt;$E22),0,$C22*(1+N($F22))^(16-$D22))</f>
        <v>0</v>
      </c>
      <c r="X22" s="33" t="n">
        <f aca="false">IF(OR($C22="",17&lt;$D22,17&gt;$E22),0,$C22*(1+N($F22))^(17-$D22))</f>
        <v>0</v>
      </c>
      <c r="Y22" s="33" t="n">
        <f aca="false">IF(OR($C22="",18&lt;$D22,18&gt;$E22),0,$C22*(1+N($F22))^(18-$D22))</f>
        <v>0</v>
      </c>
      <c r="Z22" s="33" t="n">
        <f aca="false">IF(OR($C22="",19&lt;$D22,19&gt;$E22),0,$C22*(1+N($F22))^(19-$D22))</f>
        <v>0</v>
      </c>
      <c r="AA22" s="33" t="n">
        <f aca="false">IF(OR($C22="",20&lt;$D22,20&gt;$E22),0,$C22*(1+N($F22))^(20-$D22))</f>
        <v>0</v>
      </c>
    </row>
    <row r="23" customFormat="false" ht="15" hidden="false" customHeight="false" outlineLevel="0" collapsed="false">
      <c r="A23" s="6"/>
      <c r="B23" s="6"/>
      <c r="C23" s="30"/>
      <c r="D23" s="31"/>
      <c r="E23" s="31"/>
      <c r="F23" s="32"/>
      <c r="G23" s="33" t="n">
        <f aca="false">IF(OR($C23="",0&lt;$D23,0&gt;$E23),0,$C23*(1+N($F23))^(0-$D23))</f>
        <v>0</v>
      </c>
      <c r="H23" s="33" t="n">
        <f aca="false">IF(OR($C23="",1&lt;$D23,1&gt;$E23),0,$C23*(1+N($F23))^(1-$D23))</f>
        <v>0</v>
      </c>
      <c r="I23" s="33" t="n">
        <f aca="false">IF(OR($C23="",2&lt;$D23,2&gt;$E23),0,$C23*(1+N($F23))^(2-$D23))</f>
        <v>0</v>
      </c>
      <c r="J23" s="33" t="n">
        <f aca="false">IF(OR($C23="",3&lt;$D23,3&gt;$E23),0,$C23*(1+N($F23))^(3-$D23))</f>
        <v>0</v>
      </c>
      <c r="K23" s="33" t="n">
        <f aca="false">IF(OR($C23="",4&lt;$D23,4&gt;$E23),0,$C23*(1+N($F23))^(4-$D23))</f>
        <v>0</v>
      </c>
      <c r="L23" s="33" t="n">
        <f aca="false">IF(OR($C23="",5&lt;$D23,5&gt;$E23),0,$C23*(1+N($F23))^(5-$D23))</f>
        <v>0</v>
      </c>
      <c r="M23" s="33" t="n">
        <f aca="false">IF(OR($C23="",6&lt;$D23,6&gt;$E23),0,$C23*(1+N($F23))^(6-$D23))</f>
        <v>0</v>
      </c>
      <c r="N23" s="33" t="n">
        <f aca="false">IF(OR($C23="",7&lt;$D23,7&gt;$E23),0,$C23*(1+N($F23))^(7-$D23))</f>
        <v>0</v>
      </c>
      <c r="O23" s="33" t="n">
        <f aca="false">IF(OR($C23="",8&lt;$D23,8&gt;$E23),0,$C23*(1+N($F23))^(8-$D23))</f>
        <v>0</v>
      </c>
      <c r="P23" s="33" t="n">
        <f aca="false">IF(OR($C23="",9&lt;$D23,9&gt;$E23),0,$C23*(1+N($F23))^(9-$D23))</f>
        <v>0</v>
      </c>
      <c r="Q23" s="33" t="n">
        <f aca="false">IF(OR($C23="",10&lt;$D23,10&gt;$E23),0,$C23*(1+N($F23))^(10-$D23))</f>
        <v>0</v>
      </c>
      <c r="R23" s="33" t="n">
        <f aca="false">IF(OR($C23="",11&lt;$D23,11&gt;$E23),0,$C23*(1+N($F23))^(11-$D23))</f>
        <v>0</v>
      </c>
      <c r="S23" s="33" t="n">
        <f aca="false">IF(OR($C23="",12&lt;$D23,12&gt;$E23),0,$C23*(1+N($F23))^(12-$D23))</f>
        <v>0</v>
      </c>
      <c r="T23" s="33" t="n">
        <f aca="false">IF(OR($C23="",13&lt;$D23,13&gt;$E23),0,$C23*(1+N($F23))^(13-$D23))</f>
        <v>0</v>
      </c>
      <c r="U23" s="33" t="n">
        <f aca="false">IF(OR($C23="",14&lt;$D23,14&gt;$E23),0,$C23*(1+N($F23))^(14-$D23))</f>
        <v>0</v>
      </c>
      <c r="V23" s="33" t="n">
        <f aca="false">IF(OR($C23="",15&lt;$D23,15&gt;$E23),0,$C23*(1+N($F23))^(15-$D23))</f>
        <v>0</v>
      </c>
      <c r="W23" s="33" t="n">
        <f aca="false">IF(OR($C23="",16&lt;$D23,16&gt;$E23),0,$C23*(1+N($F23))^(16-$D23))</f>
        <v>0</v>
      </c>
      <c r="X23" s="33" t="n">
        <f aca="false">IF(OR($C23="",17&lt;$D23,17&gt;$E23),0,$C23*(1+N($F23))^(17-$D23))</f>
        <v>0</v>
      </c>
      <c r="Y23" s="33" t="n">
        <f aca="false">IF(OR($C23="",18&lt;$D23,18&gt;$E23),0,$C23*(1+N($F23))^(18-$D23))</f>
        <v>0</v>
      </c>
      <c r="Z23" s="33" t="n">
        <f aca="false">IF(OR($C23="",19&lt;$D23,19&gt;$E23),0,$C23*(1+N($F23))^(19-$D23))</f>
        <v>0</v>
      </c>
      <c r="AA23" s="33" t="n">
        <f aca="false">IF(OR($C23="",20&lt;$D23,20&gt;$E23),0,$C23*(1+N($F23))^(20-$D23))</f>
        <v>0</v>
      </c>
    </row>
    <row r="24" customFormat="false" ht="15" hidden="false" customHeight="false" outlineLevel="0" collapsed="false">
      <c r="A24" s="6"/>
      <c r="B24" s="6"/>
      <c r="C24" s="30"/>
      <c r="D24" s="31"/>
      <c r="E24" s="31"/>
      <c r="F24" s="32"/>
      <c r="G24" s="33" t="n">
        <f aca="false">IF(OR($C24="",0&lt;$D24,0&gt;$E24),0,$C24*(1+N($F24))^(0-$D24))</f>
        <v>0</v>
      </c>
      <c r="H24" s="33" t="n">
        <f aca="false">IF(OR($C24="",1&lt;$D24,1&gt;$E24),0,$C24*(1+N($F24))^(1-$D24))</f>
        <v>0</v>
      </c>
      <c r="I24" s="33" t="n">
        <f aca="false">IF(OR($C24="",2&lt;$D24,2&gt;$E24),0,$C24*(1+N($F24))^(2-$D24))</f>
        <v>0</v>
      </c>
      <c r="J24" s="33" t="n">
        <f aca="false">IF(OR($C24="",3&lt;$D24,3&gt;$E24),0,$C24*(1+N($F24))^(3-$D24))</f>
        <v>0</v>
      </c>
      <c r="K24" s="33" t="n">
        <f aca="false">IF(OR($C24="",4&lt;$D24,4&gt;$E24),0,$C24*(1+N($F24))^(4-$D24))</f>
        <v>0</v>
      </c>
      <c r="L24" s="33" t="n">
        <f aca="false">IF(OR($C24="",5&lt;$D24,5&gt;$E24),0,$C24*(1+N($F24))^(5-$D24))</f>
        <v>0</v>
      </c>
      <c r="M24" s="33" t="n">
        <f aca="false">IF(OR($C24="",6&lt;$D24,6&gt;$E24),0,$C24*(1+N($F24))^(6-$D24))</f>
        <v>0</v>
      </c>
      <c r="N24" s="33" t="n">
        <f aca="false">IF(OR($C24="",7&lt;$D24,7&gt;$E24),0,$C24*(1+N($F24))^(7-$D24))</f>
        <v>0</v>
      </c>
      <c r="O24" s="33" t="n">
        <f aca="false">IF(OR($C24="",8&lt;$D24,8&gt;$E24),0,$C24*(1+N($F24))^(8-$D24))</f>
        <v>0</v>
      </c>
      <c r="P24" s="33" t="n">
        <f aca="false">IF(OR($C24="",9&lt;$D24,9&gt;$E24),0,$C24*(1+N($F24))^(9-$D24))</f>
        <v>0</v>
      </c>
      <c r="Q24" s="33" t="n">
        <f aca="false">IF(OR($C24="",10&lt;$D24,10&gt;$E24),0,$C24*(1+N($F24))^(10-$D24))</f>
        <v>0</v>
      </c>
      <c r="R24" s="33" t="n">
        <f aca="false">IF(OR($C24="",11&lt;$D24,11&gt;$E24),0,$C24*(1+N($F24))^(11-$D24))</f>
        <v>0</v>
      </c>
      <c r="S24" s="33" t="n">
        <f aca="false">IF(OR($C24="",12&lt;$D24,12&gt;$E24),0,$C24*(1+N($F24))^(12-$D24))</f>
        <v>0</v>
      </c>
      <c r="T24" s="33" t="n">
        <f aca="false">IF(OR($C24="",13&lt;$D24,13&gt;$E24),0,$C24*(1+N($F24))^(13-$D24))</f>
        <v>0</v>
      </c>
      <c r="U24" s="33" t="n">
        <f aca="false">IF(OR($C24="",14&lt;$D24,14&gt;$E24),0,$C24*(1+N($F24))^(14-$D24))</f>
        <v>0</v>
      </c>
      <c r="V24" s="33" t="n">
        <f aca="false">IF(OR($C24="",15&lt;$D24,15&gt;$E24),0,$C24*(1+N($F24))^(15-$D24))</f>
        <v>0</v>
      </c>
      <c r="W24" s="33" t="n">
        <f aca="false">IF(OR($C24="",16&lt;$D24,16&gt;$E24),0,$C24*(1+N($F24))^(16-$D24))</f>
        <v>0</v>
      </c>
      <c r="X24" s="33" t="n">
        <f aca="false">IF(OR($C24="",17&lt;$D24,17&gt;$E24),0,$C24*(1+N($F24))^(17-$D24))</f>
        <v>0</v>
      </c>
      <c r="Y24" s="33" t="n">
        <f aca="false">IF(OR($C24="",18&lt;$D24,18&gt;$E24),0,$C24*(1+N($F24))^(18-$D24))</f>
        <v>0</v>
      </c>
      <c r="Z24" s="33" t="n">
        <f aca="false">IF(OR($C24="",19&lt;$D24,19&gt;$E24),0,$C24*(1+N($F24))^(19-$D24))</f>
        <v>0</v>
      </c>
      <c r="AA24" s="33" t="n">
        <f aca="false">IF(OR($C24="",20&lt;$D24,20&gt;$E24),0,$C24*(1+N($F24))^(20-$D24))</f>
        <v>0</v>
      </c>
    </row>
    <row r="25" customFormat="false" ht="15" hidden="false" customHeight="false" outlineLevel="0" collapsed="false">
      <c r="A25" s="6"/>
      <c r="B25" s="6"/>
      <c r="C25" s="30"/>
      <c r="D25" s="31"/>
      <c r="E25" s="31"/>
      <c r="F25" s="32"/>
      <c r="G25" s="33" t="n">
        <f aca="false">IF(OR($C25="",0&lt;$D25,0&gt;$E25),0,$C25*(1+N($F25))^(0-$D25))</f>
        <v>0</v>
      </c>
      <c r="H25" s="33" t="n">
        <f aca="false">IF(OR($C25="",1&lt;$D25,1&gt;$E25),0,$C25*(1+N($F25))^(1-$D25))</f>
        <v>0</v>
      </c>
      <c r="I25" s="33" t="n">
        <f aca="false">IF(OR($C25="",2&lt;$D25,2&gt;$E25),0,$C25*(1+N($F25))^(2-$D25))</f>
        <v>0</v>
      </c>
      <c r="J25" s="33" t="n">
        <f aca="false">IF(OR($C25="",3&lt;$D25,3&gt;$E25),0,$C25*(1+N($F25))^(3-$D25))</f>
        <v>0</v>
      </c>
      <c r="K25" s="33" t="n">
        <f aca="false">IF(OR($C25="",4&lt;$D25,4&gt;$E25),0,$C25*(1+N($F25))^(4-$D25))</f>
        <v>0</v>
      </c>
      <c r="L25" s="33" t="n">
        <f aca="false">IF(OR($C25="",5&lt;$D25,5&gt;$E25),0,$C25*(1+N($F25))^(5-$D25))</f>
        <v>0</v>
      </c>
      <c r="M25" s="33" t="n">
        <f aca="false">IF(OR($C25="",6&lt;$D25,6&gt;$E25),0,$C25*(1+N($F25))^(6-$D25))</f>
        <v>0</v>
      </c>
      <c r="N25" s="33" t="n">
        <f aca="false">IF(OR($C25="",7&lt;$D25,7&gt;$E25),0,$C25*(1+N($F25))^(7-$D25))</f>
        <v>0</v>
      </c>
      <c r="O25" s="33" t="n">
        <f aca="false">IF(OR($C25="",8&lt;$D25,8&gt;$E25),0,$C25*(1+N($F25))^(8-$D25))</f>
        <v>0</v>
      </c>
      <c r="P25" s="33" t="n">
        <f aca="false">IF(OR($C25="",9&lt;$D25,9&gt;$E25),0,$C25*(1+N($F25))^(9-$D25))</f>
        <v>0</v>
      </c>
      <c r="Q25" s="33" t="n">
        <f aca="false">IF(OR($C25="",10&lt;$D25,10&gt;$E25),0,$C25*(1+N($F25))^(10-$D25))</f>
        <v>0</v>
      </c>
      <c r="R25" s="33" t="n">
        <f aca="false">IF(OR($C25="",11&lt;$D25,11&gt;$E25),0,$C25*(1+N($F25))^(11-$D25))</f>
        <v>0</v>
      </c>
      <c r="S25" s="33" t="n">
        <f aca="false">IF(OR($C25="",12&lt;$D25,12&gt;$E25),0,$C25*(1+N($F25))^(12-$D25))</f>
        <v>0</v>
      </c>
      <c r="T25" s="33" t="n">
        <f aca="false">IF(OR($C25="",13&lt;$D25,13&gt;$E25),0,$C25*(1+N($F25))^(13-$D25))</f>
        <v>0</v>
      </c>
      <c r="U25" s="33" t="n">
        <f aca="false">IF(OR($C25="",14&lt;$D25,14&gt;$E25),0,$C25*(1+N($F25))^(14-$D25))</f>
        <v>0</v>
      </c>
      <c r="V25" s="33" t="n">
        <f aca="false">IF(OR($C25="",15&lt;$D25,15&gt;$E25),0,$C25*(1+N($F25))^(15-$D25))</f>
        <v>0</v>
      </c>
      <c r="W25" s="33" t="n">
        <f aca="false">IF(OR($C25="",16&lt;$D25,16&gt;$E25),0,$C25*(1+N($F25))^(16-$D25))</f>
        <v>0</v>
      </c>
      <c r="X25" s="33" t="n">
        <f aca="false">IF(OR($C25="",17&lt;$D25,17&gt;$E25),0,$C25*(1+N($F25))^(17-$D25))</f>
        <v>0</v>
      </c>
      <c r="Y25" s="33" t="n">
        <f aca="false">IF(OR($C25="",18&lt;$D25,18&gt;$E25),0,$C25*(1+N($F25))^(18-$D25))</f>
        <v>0</v>
      </c>
      <c r="Z25" s="33" t="n">
        <f aca="false">IF(OR($C25="",19&lt;$D25,19&gt;$E25),0,$C25*(1+N($F25))^(19-$D25))</f>
        <v>0</v>
      </c>
      <c r="AA25" s="33" t="n">
        <f aca="false">IF(OR($C25="",20&lt;$D25,20&gt;$E25),0,$C25*(1+N($F25))^(20-$D25))</f>
        <v>0</v>
      </c>
    </row>
    <row r="26" customFormat="false" ht="15" hidden="false" customHeight="false" outlineLevel="0" collapsed="false">
      <c r="A26" s="6"/>
      <c r="B26" s="6"/>
      <c r="C26" s="30"/>
      <c r="D26" s="31"/>
      <c r="E26" s="31"/>
      <c r="F26" s="32"/>
      <c r="G26" s="33" t="n">
        <f aca="false">IF(OR($C26="",0&lt;$D26,0&gt;$E26),0,$C26*(1+N($F26))^(0-$D26))</f>
        <v>0</v>
      </c>
      <c r="H26" s="33" t="n">
        <f aca="false">IF(OR($C26="",1&lt;$D26,1&gt;$E26),0,$C26*(1+N($F26))^(1-$D26))</f>
        <v>0</v>
      </c>
      <c r="I26" s="33" t="n">
        <f aca="false">IF(OR($C26="",2&lt;$D26,2&gt;$E26),0,$C26*(1+N($F26))^(2-$D26))</f>
        <v>0</v>
      </c>
      <c r="J26" s="33" t="n">
        <f aca="false">IF(OR($C26="",3&lt;$D26,3&gt;$E26),0,$C26*(1+N($F26))^(3-$D26))</f>
        <v>0</v>
      </c>
      <c r="K26" s="33" t="n">
        <f aca="false">IF(OR($C26="",4&lt;$D26,4&gt;$E26),0,$C26*(1+N($F26))^(4-$D26))</f>
        <v>0</v>
      </c>
      <c r="L26" s="33" t="n">
        <f aca="false">IF(OR($C26="",5&lt;$D26,5&gt;$E26),0,$C26*(1+N($F26))^(5-$D26))</f>
        <v>0</v>
      </c>
      <c r="M26" s="33" t="n">
        <f aca="false">IF(OR($C26="",6&lt;$D26,6&gt;$E26),0,$C26*(1+N($F26))^(6-$D26))</f>
        <v>0</v>
      </c>
      <c r="N26" s="33" t="n">
        <f aca="false">IF(OR($C26="",7&lt;$D26,7&gt;$E26),0,$C26*(1+N($F26))^(7-$D26))</f>
        <v>0</v>
      </c>
      <c r="O26" s="33" t="n">
        <f aca="false">IF(OR($C26="",8&lt;$D26,8&gt;$E26),0,$C26*(1+N($F26))^(8-$D26))</f>
        <v>0</v>
      </c>
      <c r="P26" s="33" t="n">
        <f aca="false">IF(OR($C26="",9&lt;$D26,9&gt;$E26),0,$C26*(1+N($F26))^(9-$D26))</f>
        <v>0</v>
      </c>
      <c r="Q26" s="33" t="n">
        <f aca="false">IF(OR($C26="",10&lt;$D26,10&gt;$E26),0,$C26*(1+N($F26))^(10-$D26))</f>
        <v>0</v>
      </c>
      <c r="R26" s="33" t="n">
        <f aca="false">IF(OR($C26="",11&lt;$D26,11&gt;$E26),0,$C26*(1+N($F26))^(11-$D26))</f>
        <v>0</v>
      </c>
      <c r="S26" s="33" t="n">
        <f aca="false">IF(OR($C26="",12&lt;$D26,12&gt;$E26),0,$C26*(1+N($F26))^(12-$D26))</f>
        <v>0</v>
      </c>
      <c r="T26" s="33" t="n">
        <f aca="false">IF(OR($C26="",13&lt;$D26,13&gt;$E26),0,$C26*(1+N($F26))^(13-$D26))</f>
        <v>0</v>
      </c>
      <c r="U26" s="33" t="n">
        <f aca="false">IF(OR($C26="",14&lt;$D26,14&gt;$E26),0,$C26*(1+N($F26))^(14-$D26))</f>
        <v>0</v>
      </c>
      <c r="V26" s="33" t="n">
        <f aca="false">IF(OR($C26="",15&lt;$D26,15&gt;$E26),0,$C26*(1+N($F26))^(15-$D26))</f>
        <v>0</v>
      </c>
      <c r="W26" s="33" t="n">
        <f aca="false">IF(OR($C26="",16&lt;$D26,16&gt;$E26),0,$C26*(1+N($F26))^(16-$D26))</f>
        <v>0</v>
      </c>
      <c r="X26" s="33" t="n">
        <f aca="false">IF(OR($C26="",17&lt;$D26,17&gt;$E26),0,$C26*(1+N($F26))^(17-$D26))</f>
        <v>0</v>
      </c>
      <c r="Y26" s="33" t="n">
        <f aca="false">IF(OR($C26="",18&lt;$D26,18&gt;$E26),0,$C26*(1+N($F26))^(18-$D26))</f>
        <v>0</v>
      </c>
      <c r="Z26" s="33" t="n">
        <f aca="false">IF(OR($C26="",19&lt;$D26,19&gt;$E26),0,$C26*(1+N($F26))^(19-$D26))</f>
        <v>0</v>
      </c>
      <c r="AA26" s="33" t="n">
        <f aca="false">IF(OR($C26="",20&lt;$D26,20&gt;$E26),0,$C26*(1+N($F26))^(20-$D26))</f>
        <v>0</v>
      </c>
    </row>
    <row r="27" customFormat="false" ht="15" hidden="false" customHeight="false" outlineLevel="0" collapsed="false">
      <c r="A27" s="6"/>
      <c r="B27" s="6"/>
      <c r="C27" s="30"/>
      <c r="D27" s="31"/>
      <c r="E27" s="31"/>
      <c r="F27" s="32"/>
      <c r="G27" s="33" t="n">
        <f aca="false">IF(OR($C27="",0&lt;$D27,0&gt;$E27),0,$C27*(1+N($F27))^(0-$D27))</f>
        <v>0</v>
      </c>
      <c r="H27" s="33" t="n">
        <f aca="false">IF(OR($C27="",1&lt;$D27,1&gt;$E27),0,$C27*(1+N($F27))^(1-$D27))</f>
        <v>0</v>
      </c>
      <c r="I27" s="33" t="n">
        <f aca="false">IF(OR($C27="",2&lt;$D27,2&gt;$E27),0,$C27*(1+N($F27))^(2-$D27))</f>
        <v>0</v>
      </c>
      <c r="J27" s="33" t="n">
        <f aca="false">IF(OR($C27="",3&lt;$D27,3&gt;$E27),0,$C27*(1+N($F27))^(3-$D27))</f>
        <v>0</v>
      </c>
      <c r="K27" s="33" t="n">
        <f aca="false">IF(OR($C27="",4&lt;$D27,4&gt;$E27),0,$C27*(1+N($F27))^(4-$D27))</f>
        <v>0</v>
      </c>
      <c r="L27" s="33" t="n">
        <f aca="false">IF(OR($C27="",5&lt;$D27,5&gt;$E27),0,$C27*(1+N($F27))^(5-$D27))</f>
        <v>0</v>
      </c>
      <c r="M27" s="33" t="n">
        <f aca="false">IF(OR($C27="",6&lt;$D27,6&gt;$E27),0,$C27*(1+N($F27))^(6-$D27))</f>
        <v>0</v>
      </c>
      <c r="N27" s="33" t="n">
        <f aca="false">IF(OR($C27="",7&lt;$D27,7&gt;$E27),0,$C27*(1+N($F27))^(7-$D27))</f>
        <v>0</v>
      </c>
      <c r="O27" s="33" t="n">
        <f aca="false">IF(OR($C27="",8&lt;$D27,8&gt;$E27),0,$C27*(1+N($F27))^(8-$D27))</f>
        <v>0</v>
      </c>
      <c r="P27" s="33" t="n">
        <f aca="false">IF(OR($C27="",9&lt;$D27,9&gt;$E27),0,$C27*(1+N($F27))^(9-$D27))</f>
        <v>0</v>
      </c>
      <c r="Q27" s="33" t="n">
        <f aca="false">IF(OR($C27="",10&lt;$D27,10&gt;$E27),0,$C27*(1+N($F27))^(10-$D27))</f>
        <v>0</v>
      </c>
      <c r="R27" s="33" t="n">
        <f aca="false">IF(OR($C27="",11&lt;$D27,11&gt;$E27),0,$C27*(1+N($F27))^(11-$D27))</f>
        <v>0</v>
      </c>
      <c r="S27" s="33" t="n">
        <f aca="false">IF(OR($C27="",12&lt;$D27,12&gt;$E27),0,$C27*(1+N($F27))^(12-$D27))</f>
        <v>0</v>
      </c>
      <c r="T27" s="33" t="n">
        <f aca="false">IF(OR($C27="",13&lt;$D27,13&gt;$E27),0,$C27*(1+N($F27))^(13-$D27))</f>
        <v>0</v>
      </c>
      <c r="U27" s="33" t="n">
        <f aca="false">IF(OR($C27="",14&lt;$D27,14&gt;$E27),0,$C27*(1+N($F27))^(14-$D27))</f>
        <v>0</v>
      </c>
      <c r="V27" s="33" t="n">
        <f aca="false">IF(OR($C27="",15&lt;$D27,15&gt;$E27),0,$C27*(1+N($F27))^(15-$D27))</f>
        <v>0</v>
      </c>
      <c r="W27" s="33" t="n">
        <f aca="false">IF(OR($C27="",16&lt;$D27,16&gt;$E27),0,$C27*(1+N($F27))^(16-$D27))</f>
        <v>0</v>
      </c>
      <c r="X27" s="33" t="n">
        <f aca="false">IF(OR($C27="",17&lt;$D27,17&gt;$E27),0,$C27*(1+N($F27))^(17-$D27))</f>
        <v>0</v>
      </c>
      <c r="Y27" s="33" t="n">
        <f aca="false">IF(OR($C27="",18&lt;$D27,18&gt;$E27),0,$C27*(1+N($F27))^(18-$D27))</f>
        <v>0</v>
      </c>
      <c r="Z27" s="33" t="n">
        <f aca="false">IF(OR($C27="",19&lt;$D27,19&gt;$E27),0,$C27*(1+N($F27))^(19-$D27))</f>
        <v>0</v>
      </c>
      <c r="AA27" s="33" t="n">
        <f aca="false">IF(OR($C27="",20&lt;$D27,20&gt;$E27),0,$C27*(1+N($F27))^(20-$D27))</f>
        <v>0</v>
      </c>
    </row>
    <row r="28" customFormat="false" ht="15" hidden="false" customHeight="false" outlineLevel="0" collapsed="false">
      <c r="A28" s="34" t="s">
        <v>104</v>
      </c>
      <c r="G28" s="35" t="n">
        <f aca="false">SUM(G8:G27)</f>
        <v>0</v>
      </c>
      <c r="H28" s="35" t="n">
        <f aca="false">SUM(H8:H27)</f>
        <v>72000</v>
      </c>
      <c r="I28" s="35" t="n">
        <f aca="false">SUM(I8:I27)</f>
        <v>72420</v>
      </c>
      <c r="J28" s="35" t="n">
        <f aca="false">SUM(J8:J27)</f>
        <v>72847.2</v>
      </c>
      <c r="K28" s="35" t="n">
        <f aca="false">SUM(K8:K27)</f>
        <v>73281.732</v>
      </c>
      <c r="L28" s="35" t="n">
        <f aca="false">SUM(L8:L27)</f>
        <v>73723.73052</v>
      </c>
      <c r="M28" s="35" t="n">
        <f aca="false">SUM(M8:M27)</f>
        <v>74173.3326492</v>
      </c>
      <c r="N28" s="35" t="n">
        <f aca="false">SUM(N8:N27)</f>
        <v>74630.678096172</v>
      </c>
      <c r="O28" s="35" t="n">
        <f aca="false">SUM(O8:O27)</f>
        <v>75095.9092400233</v>
      </c>
      <c r="P28" s="35" t="n">
        <f aca="false">SUM(P8:P27)</f>
        <v>75569.171182571</v>
      </c>
      <c r="Q28" s="35" t="n">
        <f aca="false">SUM(Q8:Q27)</f>
        <v>76050.611801547</v>
      </c>
      <c r="R28" s="35" t="n">
        <f aca="false">SUM(R8:R27)</f>
        <v>76540.3818048558</v>
      </c>
      <c r="S28" s="35" t="n">
        <f aca="false">SUM(S8:S27)</f>
        <v>77038.6347859036</v>
      </c>
      <c r="T28" s="35" t="n">
        <f aca="false">SUM(T8:T27)</f>
        <v>77545.5272800218</v>
      </c>
      <c r="U28" s="35" t="n">
        <f aca="false">SUM(U8:U27)</f>
        <v>78061.2188220064</v>
      </c>
      <c r="V28" s="35" t="n">
        <f aca="false">SUM(V8:V27)</f>
        <v>78585.8720047946</v>
      </c>
      <c r="W28" s="35" t="n">
        <f aca="false">SUM(W8:W27)</f>
        <v>0</v>
      </c>
      <c r="X28" s="35" t="n">
        <f aca="false">SUM(X8:X27)</f>
        <v>0</v>
      </c>
      <c r="Y28" s="35" t="n">
        <f aca="false">SUM(Y8:Y27)</f>
        <v>0</v>
      </c>
      <c r="Z28" s="35" t="n">
        <f aca="false">SUM(Z8:Z27)</f>
        <v>0</v>
      </c>
      <c r="AA28" s="35" t="n">
        <f aca="false">SUM(AA8:AA27)</f>
        <v>0</v>
      </c>
    </row>
    <row r="30" customFormat="false" ht="15" hidden="false" customHeight="false" outlineLevel="0" collapsed="false">
      <c r="A30" s="28" t="s">
        <v>105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</row>
    <row r="31" customFormat="false" ht="15" hidden="false" customHeight="false" outlineLevel="0" collapsed="false">
      <c r="A31" s="6" t="s">
        <v>106</v>
      </c>
      <c r="B31" s="6" t="s">
        <v>58</v>
      </c>
      <c r="C31" s="36"/>
      <c r="D31" s="36"/>
      <c r="E31" s="36"/>
      <c r="F31" s="36"/>
      <c r="G31" s="30" t="n">
        <v>600000</v>
      </c>
      <c r="H31" s="30" t="n">
        <v>150000</v>
      </c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</row>
    <row r="32" customFormat="false" ht="15" hidden="false" customHeight="false" outlineLevel="0" collapsed="false">
      <c r="A32" s="6" t="s">
        <v>107</v>
      </c>
      <c r="B32" s="6" t="s">
        <v>58</v>
      </c>
      <c r="C32" s="36"/>
      <c r="D32" s="36"/>
      <c r="E32" s="36"/>
      <c r="F32" s="36"/>
      <c r="G32" s="30" t="n">
        <v>60000</v>
      </c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</row>
    <row r="33" customFormat="false" ht="15" hidden="false" customHeight="false" outlineLevel="0" collapsed="false">
      <c r="A33" s="6" t="s">
        <v>108</v>
      </c>
      <c r="B33" s="6" t="s">
        <v>58</v>
      </c>
      <c r="C33" s="36"/>
      <c r="D33" s="36"/>
      <c r="E33" s="36"/>
      <c r="F33" s="36"/>
      <c r="G33" s="30"/>
      <c r="H33" s="30"/>
      <c r="I33" s="30"/>
      <c r="J33" s="30"/>
      <c r="K33" s="30"/>
      <c r="L33" s="30"/>
      <c r="M33" s="30"/>
      <c r="N33" s="30"/>
      <c r="O33" s="30" t="n">
        <v>80000</v>
      </c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</row>
    <row r="34" customFormat="false" ht="15" hidden="false" customHeight="false" outlineLevel="0" collapsed="false">
      <c r="A34" s="6" t="s">
        <v>109</v>
      </c>
      <c r="B34" s="6" t="s">
        <v>60</v>
      </c>
      <c r="C34" s="36"/>
      <c r="D34" s="36"/>
      <c r="E34" s="36"/>
      <c r="F34" s="36"/>
      <c r="G34" s="30" t="n">
        <v>20000</v>
      </c>
      <c r="H34" s="30" t="n">
        <v>10000</v>
      </c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</row>
    <row r="35" customFormat="false" ht="15" hidden="false" customHeight="false" outlineLevel="0" collapsed="false">
      <c r="A35" s="6"/>
      <c r="B35" s="6"/>
      <c r="C35" s="36"/>
      <c r="D35" s="36"/>
      <c r="E35" s="36"/>
      <c r="F35" s="36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</row>
    <row r="36" customFormat="false" ht="15" hidden="false" customHeight="false" outlineLevel="0" collapsed="false">
      <c r="A36" s="6"/>
      <c r="B36" s="6"/>
      <c r="C36" s="36"/>
      <c r="D36" s="36"/>
      <c r="E36" s="36"/>
      <c r="F36" s="36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</row>
    <row r="37" customFormat="false" ht="15" hidden="false" customHeight="false" outlineLevel="0" collapsed="false">
      <c r="A37" s="6"/>
      <c r="B37" s="6"/>
      <c r="C37" s="36"/>
      <c r="D37" s="36"/>
      <c r="E37" s="36"/>
      <c r="F37" s="36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</row>
    <row r="38" customFormat="false" ht="15" hidden="false" customHeight="false" outlineLevel="0" collapsed="false">
      <c r="A38" s="6"/>
      <c r="B38" s="6"/>
      <c r="C38" s="36"/>
      <c r="D38" s="36"/>
      <c r="E38" s="36"/>
      <c r="F38" s="36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</row>
    <row r="39" customFormat="false" ht="15" hidden="false" customHeight="false" outlineLevel="0" collapsed="false">
      <c r="A39" s="6"/>
      <c r="B39" s="6"/>
      <c r="C39" s="36"/>
      <c r="D39" s="36"/>
      <c r="E39" s="36"/>
      <c r="F39" s="36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</row>
    <row r="40" customFormat="false" ht="15" hidden="false" customHeight="false" outlineLevel="0" collapsed="false">
      <c r="A40" s="6"/>
      <c r="B40" s="6"/>
      <c r="C40" s="36"/>
      <c r="D40" s="36"/>
      <c r="E40" s="36"/>
      <c r="F40" s="36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</row>
    <row r="41" customFormat="false" ht="15" hidden="false" customHeight="false" outlineLevel="0" collapsed="false">
      <c r="A41" s="6"/>
      <c r="B41" s="6"/>
      <c r="C41" s="36"/>
      <c r="D41" s="36"/>
      <c r="E41" s="36"/>
      <c r="F41" s="36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</row>
    <row r="42" customFormat="false" ht="15" hidden="false" customHeight="false" outlineLevel="0" collapsed="false">
      <c r="A42" s="6"/>
      <c r="B42" s="6"/>
      <c r="C42" s="36"/>
      <c r="D42" s="36"/>
      <c r="E42" s="36"/>
      <c r="F42" s="36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</row>
    <row r="43" customFormat="false" ht="15" hidden="false" customHeight="false" outlineLevel="0" collapsed="false">
      <c r="A43" s="6"/>
      <c r="B43" s="6"/>
      <c r="C43" s="36"/>
      <c r="D43" s="36"/>
      <c r="E43" s="36"/>
      <c r="F43" s="36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</row>
    <row r="44" customFormat="false" ht="15" hidden="false" customHeight="false" outlineLevel="0" collapsed="false">
      <c r="A44" s="6"/>
      <c r="B44" s="6"/>
      <c r="C44" s="36"/>
      <c r="D44" s="36"/>
      <c r="E44" s="36"/>
      <c r="F44" s="36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</row>
    <row r="45" customFormat="false" ht="15" hidden="false" customHeight="false" outlineLevel="0" collapsed="false">
      <c r="A45" s="6"/>
      <c r="B45" s="6"/>
      <c r="C45" s="36"/>
      <c r="D45" s="36"/>
      <c r="E45" s="36"/>
      <c r="F45" s="36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</row>
    <row r="46" customFormat="false" ht="15" hidden="false" customHeight="false" outlineLevel="0" collapsed="false">
      <c r="A46" s="34" t="s">
        <v>110</v>
      </c>
      <c r="G46" s="35" t="n">
        <f aca="false">SUM(G31:G45)</f>
        <v>680000</v>
      </c>
      <c r="H46" s="35" t="n">
        <f aca="false">SUM(H31:H45)</f>
        <v>160000</v>
      </c>
      <c r="I46" s="35" t="n">
        <f aca="false">SUM(I31:I45)</f>
        <v>0</v>
      </c>
      <c r="J46" s="35" t="n">
        <f aca="false">SUM(J31:J45)</f>
        <v>0</v>
      </c>
      <c r="K46" s="35" t="n">
        <f aca="false">SUM(K31:K45)</f>
        <v>0</v>
      </c>
      <c r="L46" s="35" t="n">
        <f aca="false">SUM(L31:L45)</f>
        <v>0</v>
      </c>
      <c r="M46" s="35" t="n">
        <f aca="false">SUM(M31:M45)</f>
        <v>0</v>
      </c>
      <c r="N46" s="35" t="n">
        <f aca="false">SUM(N31:N45)</f>
        <v>0</v>
      </c>
      <c r="O46" s="35" t="n">
        <f aca="false">SUM(O31:O45)</f>
        <v>80000</v>
      </c>
      <c r="P46" s="35" t="n">
        <f aca="false">SUM(P31:P45)</f>
        <v>0</v>
      </c>
      <c r="Q46" s="35" t="n">
        <f aca="false">SUM(Q31:Q45)</f>
        <v>0</v>
      </c>
      <c r="R46" s="35" t="n">
        <f aca="false">SUM(R31:R45)</f>
        <v>0</v>
      </c>
      <c r="S46" s="35" t="n">
        <f aca="false">SUM(S31:S45)</f>
        <v>0</v>
      </c>
      <c r="T46" s="35" t="n">
        <f aca="false">SUM(T31:T45)</f>
        <v>0</v>
      </c>
      <c r="U46" s="35" t="n">
        <f aca="false">SUM(U31:U45)</f>
        <v>0</v>
      </c>
      <c r="V46" s="35" t="n">
        <f aca="false">SUM(V31:V45)</f>
        <v>0</v>
      </c>
      <c r="W46" s="35" t="n">
        <f aca="false">SUM(W31:W45)</f>
        <v>0</v>
      </c>
      <c r="X46" s="35" t="n">
        <f aca="false">SUM(X31:X45)</f>
        <v>0</v>
      </c>
      <c r="Y46" s="35" t="n">
        <f aca="false">SUM(Y31:Y45)</f>
        <v>0</v>
      </c>
      <c r="Z46" s="35" t="n">
        <f aca="false">SUM(Z31:Z45)</f>
        <v>0</v>
      </c>
      <c r="AA46" s="35" t="n">
        <f aca="false">SUM(AA31:AA45)</f>
        <v>0</v>
      </c>
    </row>
    <row r="48" customFormat="false" ht="15" hidden="false" customHeight="false" outlineLevel="0" collapsed="false">
      <c r="A48" s="37" t="s">
        <v>111</v>
      </c>
      <c r="B48" s="38"/>
      <c r="C48" s="38"/>
      <c r="D48" s="38"/>
      <c r="E48" s="38"/>
      <c r="F48" s="39" t="n">
        <f aca="false">SUM(G48:AA48)</f>
        <v>2047564.0001871</v>
      </c>
      <c r="G48" s="40" t="n">
        <f aca="false">G28+G46</f>
        <v>680000</v>
      </c>
      <c r="H48" s="40" t="n">
        <f aca="false">H28+H46</f>
        <v>232000</v>
      </c>
      <c r="I48" s="40" t="n">
        <f aca="false">I28+I46</f>
        <v>72420</v>
      </c>
      <c r="J48" s="40" t="n">
        <f aca="false">J28+J46</f>
        <v>72847.2</v>
      </c>
      <c r="K48" s="40" t="n">
        <f aca="false">K28+K46</f>
        <v>73281.732</v>
      </c>
      <c r="L48" s="40" t="n">
        <f aca="false">L28+L46</f>
        <v>73723.73052</v>
      </c>
      <c r="M48" s="40" t="n">
        <f aca="false">M28+M46</f>
        <v>74173.3326492</v>
      </c>
      <c r="N48" s="40" t="n">
        <f aca="false">N28+N46</f>
        <v>74630.678096172</v>
      </c>
      <c r="O48" s="40" t="n">
        <f aca="false">O28+O46</f>
        <v>155095.909240023</v>
      </c>
      <c r="P48" s="40" t="n">
        <f aca="false">P28+P46</f>
        <v>75569.171182571</v>
      </c>
      <c r="Q48" s="40" t="n">
        <f aca="false">Q28+Q46</f>
        <v>76050.611801547</v>
      </c>
      <c r="R48" s="40" t="n">
        <f aca="false">R28+R46</f>
        <v>76540.3818048558</v>
      </c>
      <c r="S48" s="40" t="n">
        <f aca="false">S28+S46</f>
        <v>77038.6347859036</v>
      </c>
      <c r="T48" s="40" t="n">
        <f aca="false">T28+T46</f>
        <v>77545.5272800218</v>
      </c>
      <c r="U48" s="40" t="n">
        <f aca="false">U28+U46</f>
        <v>78061.2188220064</v>
      </c>
      <c r="V48" s="40" t="n">
        <f aca="false">V28+V46</f>
        <v>78585.8720047946</v>
      </c>
      <c r="W48" s="40" t="n">
        <f aca="false">W28+W46</f>
        <v>0</v>
      </c>
      <c r="X48" s="40" t="n">
        <f aca="false">X28+X46</f>
        <v>0</v>
      </c>
      <c r="Y48" s="40" t="n">
        <f aca="false">Y28+Y46</f>
        <v>0</v>
      </c>
      <c r="Z48" s="40" t="n">
        <f aca="false">Z28+Z46</f>
        <v>0</v>
      </c>
      <c r="AA48" s="40" t="n">
        <f aca="false">AA28+AA46</f>
        <v>0</v>
      </c>
    </row>
    <row r="50" customFormat="false" ht="15" hidden="false" customHeight="false" outlineLevel="0" collapsed="false">
      <c r="A50" s="41" t="s">
        <v>112</v>
      </c>
    </row>
    <row r="51" customFormat="false" ht="15" hidden="false" customHeight="false" outlineLevel="0" collapsed="false">
      <c r="A51" s="8" t="str">
        <f aca="false">IF(Inputs!$A$19="","",Inputs!$A$19)</f>
        <v>Capital / investment</v>
      </c>
      <c r="B51" s="33" t="n">
        <f aca="false">IF(A51="","",SUMPRODUCT(($B$8:$B$27=A51)*$G$8:$AA$27*(COLUMN($G$8:$AA$27)-COLUMN($G$8)&lt;=Period))+SUMPRODUCT(($B$31:$B$45=A51)*$G$31:$AA$45*(COLUMN($G$31:$AA$45)-COLUMN($G$31)&lt;=Period)))</f>
        <v>890000</v>
      </c>
    </row>
    <row r="52" customFormat="false" ht="15" hidden="false" customHeight="false" outlineLevel="0" collapsed="false">
      <c r="A52" s="8" t="str">
        <f aca="false">IF(Inputs!$A$20="","",Inputs!$A$20)</f>
        <v>Operating</v>
      </c>
      <c r="B52" s="33" t="n">
        <f aca="false">IF(A52="","",SUMPRODUCT(($B$8:$B$27=A52)*$G$8:$AA$27*(COLUMN($G$8:$AA$27)-COLUMN($G$8)&lt;=Period))+SUMPRODUCT(($B$31:$B$45=A52)*$G$31:$AA$45*(COLUMN($G$31:$AA$45)-COLUMN($G$31)&lt;=Period)))</f>
        <v>223162.746443998</v>
      </c>
    </row>
    <row r="53" customFormat="false" ht="15" hidden="false" customHeight="false" outlineLevel="0" collapsed="false">
      <c r="A53" s="8" t="str">
        <f aca="false">IF(Inputs!$A$21="","",Inputs!$A$21)</f>
        <v>Maintenance</v>
      </c>
      <c r="B53" s="33" t="n">
        <f aca="false">IF(A53="","",SUMPRODUCT(($B$8:$B$27=A53)*$G$8:$AA$27*(COLUMN($G$8:$AA$27)-COLUMN($G$8)&lt;=Period))+SUMPRODUCT(($B$31:$B$45=A53)*$G$31:$AA$45*(COLUMN($G$31:$AA$45)-COLUMN($G$31)&lt;=Period)))</f>
        <v>259401.253743097</v>
      </c>
    </row>
    <row r="54" customFormat="false" ht="15" hidden="false" customHeight="false" outlineLevel="0" collapsed="false">
      <c r="A54" s="8" t="str">
        <f aca="false">IF(Inputs!$A$22="","",Inputs!$A$22)</f>
        <v>Staff / personnel</v>
      </c>
      <c r="B54" s="33" t="n">
        <f aca="false">IF(A54="","",SUMPRODUCT(($B$8:$B$27=A54)*$G$8:$AA$27*(COLUMN($G$8:$AA$27)-COLUMN($G$8)&lt;=Period))+SUMPRODUCT(($B$31:$B$45=A54)*$G$31:$AA$45*(COLUMN($G$31:$AA$45)-COLUMN($G$31)&lt;=Period)))</f>
        <v>600000</v>
      </c>
    </row>
    <row r="55" customFormat="false" ht="15" hidden="false" customHeight="false" outlineLevel="0" collapsed="false">
      <c r="A55" s="8" t="str">
        <f aca="false">IF(Inputs!$A$23="","",Inputs!$A$23)</f>
        <v>Social / environmental cost</v>
      </c>
      <c r="B55" s="33" t="n">
        <f aca="false">IF(A55="","",SUMPRODUCT(($B$8:$B$27=A55)*$G$8:$AA$27*(COLUMN($G$8:$AA$27)-COLUMN($G$8)&lt;=Period))+SUMPRODUCT(($B$31:$B$45=A55)*$G$31:$AA$45*(COLUMN($G$31:$AA$45)-COLUMN($G$31)&lt;=Period)))</f>
        <v>0</v>
      </c>
    </row>
    <row r="56" customFormat="false" ht="15" hidden="false" customHeight="false" outlineLevel="0" collapsed="false">
      <c r="A56" s="8" t="str">
        <f aca="false">IF(Inputs!$A$24="","",Inputs!$A$24)</f>
        <v>Other</v>
      </c>
      <c r="B56" s="33" t="n">
        <f aca="false">IF(A56="","",SUMPRODUCT(($B$8:$B$27=A56)*$G$8:$AA$27*(COLUMN($G$8:$AA$27)-COLUMN($G$8)&lt;=Period))+SUMPRODUCT(($B$31:$B$45=A56)*$G$31:$AA$45*(COLUMN($G$31:$AA$45)-COLUMN($G$31)&lt;=Period)))</f>
        <v>75000</v>
      </c>
    </row>
    <row r="57" customFormat="false" ht="15" hidden="false" customHeight="false" outlineLevel="0" collapsed="false">
      <c r="A57" s="8" t="str">
        <f aca="false">IF(Inputs!$A$25="","",Inputs!$A$25)</f>
        <v/>
      </c>
      <c r="B57" s="33" t="str">
        <f aca="false">IF(A57="","",SUMPRODUCT(($B$8:$B$27=A57)*$G$8:$AA$27*(COLUMN($G$8:$AA$27)-COLUMN($G$8)&lt;=Period))+SUMPRODUCT(($B$31:$B$45=A57)*$G$31:$AA$45*(COLUMN($G$31:$AA$45)-COLUMN($G$31)&lt;=Period)))</f>
        <v/>
      </c>
    </row>
    <row r="58" customFormat="false" ht="15" hidden="false" customHeight="false" outlineLevel="0" collapsed="false">
      <c r="A58" s="8" t="str">
        <f aca="false">IF(Inputs!$A$26="","",Inputs!$A$26)</f>
        <v/>
      </c>
      <c r="B58" s="33" t="str">
        <f aca="false">IF(A58="","",SUMPRODUCT(($B$8:$B$27=A58)*$G$8:$AA$27*(COLUMN($G$8:$AA$27)-COLUMN($G$8)&lt;=Period))+SUMPRODUCT(($B$31:$B$45=A58)*$G$31:$AA$45*(COLUMN($G$31:$AA$45)-COLUMN($G$31)&lt;=Period)))</f>
        <v/>
      </c>
    </row>
  </sheetData>
  <dataValidations count="2">
    <dataValidation allowBlank="true" errorStyle="stop" operator="between" showDropDown="false" showErrorMessage="false" showInputMessage="false" sqref="B8:B27 B31:B45" type="list">
      <formula1>L_CCat</formula1>
      <formula2>0</formula2>
    </dataValidation>
    <dataValidation allowBlank="false" error="Year must be between 0 and 20." errorStyle="stop" operator="between" showDropDown="false" showErrorMessage="false" showInputMessage="false" sqref="D8:E27" type="whole">
      <formula1>0</formula1>
      <formula2>20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48235"/>
    <pageSetUpPr fitToPage="false"/>
  </sheetPr>
  <dimension ref="A1:AA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6" ySplit="6" topLeftCell="G7" activePane="bottomRight" state="frozen"/>
      <selection pane="topLeft" activeCell="A1" activeCellId="0" sqref="A1"/>
      <selection pane="topRight" activeCell="G1" activeCellId="0" sqref="G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0"/>
    <col collapsed="false" customWidth="true" hidden="false" outlineLevel="0" max="3" min="3" style="0" width="13"/>
    <col collapsed="false" customWidth="true" hidden="false" outlineLevel="0" max="5" min="4" style="0" width="7"/>
    <col collapsed="false" customWidth="true" hidden="false" outlineLevel="0" max="6" min="6" style="0" width="11"/>
    <col collapsed="false" customWidth="true" hidden="false" outlineLevel="0" max="27" min="7" style="0" width="10"/>
  </cols>
  <sheetData>
    <row r="1" customFormat="false" ht="17.35" hidden="false" customHeight="false" outlineLevel="0" collapsed="false">
      <c r="A1" s="42" t="s">
        <v>113</v>
      </c>
    </row>
    <row r="2" customFormat="false" ht="15" hidden="false" customHeight="false" outlineLevel="0" collapsed="false">
      <c r="A2" s="2" t="str">
        <f aca="false">ProjName&amp;"   |   "&amp;Currency&amp;", constant prices"</f>
        <v>[Community Water Supply Scheme – Option A]   |   GHS, constant prices</v>
      </c>
    </row>
    <row r="3" customFormat="false" ht="15" hidden="false" customHeight="false" outlineLevel="0" collapsed="false">
      <c r="A3" s="12" t="s">
        <v>70</v>
      </c>
    </row>
    <row r="5" customFormat="false" ht="30" hidden="false" customHeight="true" outlineLevel="0" collapsed="false">
      <c r="A5" s="25" t="s">
        <v>71</v>
      </c>
      <c r="B5" s="25" t="s">
        <v>72</v>
      </c>
      <c r="C5" s="25" t="s">
        <v>73</v>
      </c>
      <c r="D5" s="25" t="s">
        <v>74</v>
      </c>
      <c r="E5" s="25" t="s">
        <v>75</v>
      </c>
      <c r="F5" s="25" t="s">
        <v>76</v>
      </c>
      <c r="G5" s="25" t="s">
        <v>77</v>
      </c>
      <c r="H5" s="25" t="s">
        <v>78</v>
      </c>
      <c r="I5" s="25" t="s">
        <v>79</v>
      </c>
      <c r="J5" s="25" t="s">
        <v>80</v>
      </c>
      <c r="K5" s="25" t="s">
        <v>81</v>
      </c>
      <c r="L5" s="25" t="s">
        <v>82</v>
      </c>
      <c r="M5" s="25" t="s">
        <v>83</v>
      </c>
      <c r="N5" s="25" t="s">
        <v>84</v>
      </c>
      <c r="O5" s="25" t="s">
        <v>85</v>
      </c>
      <c r="P5" s="25" t="s">
        <v>86</v>
      </c>
      <c r="Q5" s="25" t="s">
        <v>87</v>
      </c>
      <c r="R5" s="25" t="s">
        <v>88</v>
      </c>
      <c r="S5" s="25" t="s">
        <v>89</v>
      </c>
      <c r="T5" s="25" t="s">
        <v>90</v>
      </c>
      <c r="U5" s="25" t="s">
        <v>91</v>
      </c>
      <c r="V5" s="25" t="s">
        <v>92</v>
      </c>
      <c r="W5" s="25" t="s">
        <v>93</v>
      </c>
      <c r="X5" s="25" t="s">
        <v>94</v>
      </c>
      <c r="Y5" s="25" t="s">
        <v>95</v>
      </c>
      <c r="Z5" s="25" t="s">
        <v>96</v>
      </c>
      <c r="AA5" s="25" t="s">
        <v>97</v>
      </c>
    </row>
    <row r="6" customFormat="false" ht="15" hidden="false" customHeight="false" outlineLevel="0" collapsed="false">
      <c r="F6" s="26" t="s">
        <v>98</v>
      </c>
      <c r="G6" s="27" t="n">
        <f aca="false">Year0+0</f>
        <v>2027</v>
      </c>
      <c r="H6" s="27" t="n">
        <f aca="false">Year0+1</f>
        <v>2028</v>
      </c>
      <c r="I6" s="27" t="n">
        <f aca="false">Year0+2</f>
        <v>2029</v>
      </c>
      <c r="J6" s="27" t="n">
        <f aca="false">Year0+3</f>
        <v>2030</v>
      </c>
      <c r="K6" s="27" t="n">
        <f aca="false">Year0+4</f>
        <v>2031</v>
      </c>
      <c r="L6" s="27" t="n">
        <f aca="false">Year0+5</f>
        <v>2032</v>
      </c>
      <c r="M6" s="27" t="n">
        <f aca="false">Year0+6</f>
        <v>2033</v>
      </c>
      <c r="N6" s="27" t="n">
        <f aca="false">Year0+7</f>
        <v>2034</v>
      </c>
      <c r="O6" s="27" t="n">
        <f aca="false">Year0+8</f>
        <v>2035</v>
      </c>
      <c r="P6" s="27" t="n">
        <f aca="false">Year0+9</f>
        <v>2036</v>
      </c>
      <c r="Q6" s="27" t="n">
        <f aca="false">Year0+10</f>
        <v>2037</v>
      </c>
      <c r="R6" s="27" t="n">
        <f aca="false">Year0+11</f>
        <v>2038</v>
      </c>
      <c r="S6" s="27" t="n">
        <f aca="false">Year0+12</f>
        <v>2039</v>
      </c>
      <c r="T6" s="27" t="n">
        <f aca="false">Year0+13</f>
        <v>2040</v>
      </c>
      <c r="U6" s="27" t="n">
        <f aca="false">Year0+14</f>
        <v>2041</v>
      </c>
      <c r="V6" s="27" t="n">
        <f aca="false">Year0+15</f>
        <v>2042</v>
      </c>
      <c r="W6" s="27" t="n">
        <f aca="false">Year0+16</f>
        <v>2043</v>
      </c>
      <c r="X6" s="27" t="n">
        <f aca="false">Year0+17</f>
        <v>2044</v>
      </c>
      <c r="Y6" s="27" t="n">
        <f aca="false">Year0+18</f>
        <v>2045</v>
      </c>
      <c r="Z6" s="27" t="n">
        <f aca="false">Year0+19</f>
        <v>2046</v>
      </c>
      <c r="AA6" s="27" t="n">
        <f aca="false">Year0+20</f>
        <v>2047</v>
      </c>
    </row>
    <row r="7" customFormat="false" ht="15" hidden="false" customHeight="false" outlineLevel="0" collapsed="false">
      <c r="A7" s="43" t="s">
        <v>99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</row>
    <row r="8" customFormat="false" ht="15" hidden="false" customHeight="false" outlineLevel="0" collapsed="false">
      <c r="A8" s="6" t="s">
        <v>114</v>
      </c>
      <c r="B8" s="6" t="s">
        <v>59</v>
      </c>
      <c r="C8" s="30" t="n">
        <v>60000</v>
      </c>
      <c r="D8" s="31" t="n">
        <v>1</v>
      </c>
      <c r="E8" s="31" t="n">
        <v>15</v>
      </c>
      <c r="F8" s="32" t="n">
        <v>0.03</v>
      </c>
      <c r="G8" s="33" t="n">
        <f aca="false">IF(OR($C8="",0&lt;$D8,0&gt;$E8),0,$C8*(1+N($F8))^(0-$D8))</f>
        <v>0</v>
      </c>
      <c r="H8" s="33" t="n">
        <f aca="false">IF(OR($C8="",1&lt;$D8,1&gt;$E8),0,$C8*(1+N($F8))^(1-$D8))</f>
        <v>60000</v>
      </c>
      <c r="I8" s="33" t="n">
        <f aca="false">IF(OR($C8="",2&lt;$D8,2&gt;$E8),0,$C8*(1+N($F8))^(2-$D8))</f>
        <v>61800</v>
      </c>
      <c r="J8" s="33" t="n">
        <f aca="false">IF(OR($C8="",3&lt;$D8,3&gt;$E8),0,$C8*(1+N($F8))^(3-$D8))</f>
        <v>63654</v>
      </c>
      <c r="K8" s="33" t="n">
        <f aca="false">IF(OR($C8="",4&lt;$D8,4&gt;$E8),0,$C8*(1+N($F8))^(4-$D8))</f>
        <v>65563.62</v>
      </c>
      <c r="L8" s="33" t="n">
        <f aca="false">IF(OR($C8="",5&lt;$D8,5&gt;$E8),0,$C8*(1+N($F8))^(5-$D8))</f>
        <v>67530.5286</v>
      </c>
      <c r="M8" s="33" t="n">
        <f aca="false">IF(OR($C8="",6&lt;$D8,6&gt;$E8),0,$C8*(1+N($F8))^(6-$D8))</f>
        <v>69556.444458</v>
      </c>
      <c r="N8" s="33" t="n">
        <f aca="false">IF(OR($C8="",7&lt;$D8,7&gt;$E8),0,$C8*(1+N($F8))^(7-$D8))</f>
        <v>71643.13779174</v>
      </c>
      <c r="O8" s="33" t="n">
        <f aca="false">IF(OR($C8="",8&lt;$D8,8&gt;$E8),0,$C8*(1+N($F8))^(8-$D8))</f>
        <v>73792.4319254922</v>
      </c>
      <c r="P8" s="33" t="n">
        <f aca="false">IF(OR($C8="",9&lt;$D8,9&gt;$E8),0,$C8*(1+N($F8))^(9-$D8))</f>
        <v>76006.204883257</v>
      </c>
      <c r="Q8" s="33" t="n">
        <f aca="false">IF(OR($C8="",10&lt;$D8,10&gt;$E8),0,$C8*(1+N($F8))^(10-$D8))</f>
        <v>78286.3910297547</v>
      </c>
      <c r="R8" s="33" t="n">
        <f aca="false">IF(OR($C8="",11&lt;$D8,11&gt;$E8),0,$C8*(1+N($F8))^(11-$D8))</f>
        <v>80634.9827606473</v>
      </c>
      <c r="S8" s="33" t="n">
        <f aca="false">IF(OR($C8="",12&lt;$D8,12&gt;$E8),0,$C8*(1+N($F8))^(12-$D8))</f>
        <v>83054.0322434668</v>
      </c>
      <c r="T8" s="33" t="n">
        <f aca="false">IF(OR($C8="",13&lt;$D8,13&gt;$E8),0,$C8*(1+N($F8))^(13-$D8))</f>
        <v>85545.6532107708</v>
      </c>
      <c r="U8" s="33" t="n">
        <f aca="false">IF(OR($C8="",14&lt;$D8,14&gt;$E8),0,$C8*(1+N($F8))^(14-$D8))</f>
        <v>88112.0228070939</v>
      </c>
      <c r="V8" s="33" t="n">
        <f aca="false">IF(OR($C8="",15&lt;$D8,15&gt;$E8),0,$C8*(1+N($F8))^(15-$D8))</f>
        <v>90755.3834913067</v>
      </c>
      <c r="W8" s="33" t="n">
        <f aca="false">IF(OR($C8="",16&lt;$D8,16&gt;$E8),0,$C8*(1+N($F8))^(16-$D8))</f>
        <v>0</v>
      </c>
      <c r="X8" s="33" t="n">
        <f aca="false">IF(OR($C8="",17&lt;$D8,17&gt;$E8),0,$C8*(1+N($F8))^(17-$D8))</f>
        <v>0</v>
      </c>
      <c r="Y8" s="33" t="n">
        <f aca="false">IF(OR($C8="",18&lt;$D8,18&gt;$E8),0,$C8*(1+N($F8))^(18-$D8))</f>
        <v>0</v>
      </c>
      <c r="Z8" s="33" t="n">
        <f aca="false">IF(OR($C8="",19&lt;$D8,19&gt;$E8),0,$C8*(1+N($F8))^(19-$D8))</f>
        <v>0</v>
      </c>
      <c r="AA8" s="33" t="n">
        <f aca="false">IF(OR($C8="",20&lt;$D8,20&gt;$E8),0,$C8*(1+N($F8))^(20-$D8))</f>
        <v>0</v>
      </c>
    </row>
    <row r="9" customFormat="false" ht="15" hidden="false" customHeight="false" outlineLevel="0" collapsed="false">
      <c r="A9" s="6" t="s">
        <v>115</v>
      </c>
      <c r="B9" s="6" t="s">
        <v>63</v>
      </c>
      <c r="C9" s="30" t="n">
        <v>90000</v>
      </c>
      <c r="D9" s="31" t="n">
        <v>2</v>
      </c>
      <c r="E9" s="31" t="n">
        <v>15</v>
      </c>
      <c r="F9" s="32" t="n">
        <v>0.02</v>
      </c>
      <c r="G9" s="33" t="n">
        <f aca="false">IF(OR($C9="",0&lt;$D9,0&gt;$E9),0,$C9*(1+N($F9))^(0-$D9))</f>
        <v>0</v>
      </c>
      <c r="H9" s="33" t="n">
        <f aca="false">IF(OR($C9="",1&lt;$D9,1&gt;$E9),0,$C9*(1+N($F9))^(1-$D9))</f>
        <v>0</v>
      </c>
      <c r="I9" s="33" t="n">
        <f aca="false">IF(OR($C9="",2&lt;$D9,2&gt;$E9),0,$C9*(1+N($F9))^(2-$D9))</f>
        <v>90000</v>
      </c>
      <c r="J9" s="33" t="n">
        <f aca="false">IF(OR($C9="",3&lt;$D9,3&gt;$E9),0,$C9*(1+N($F9))^(3-$D9))</f>
        <v>91800</v>
      </c>
      <c r="K9" s="33" t="n">
        <f aca="false">IF(OR($C9="",4&lt;$D9,4&gt;$E9),0,$C9*(1+N($F9))^(4-$D9))</f>
        <v>93636</v>
      </c>
      <c r="L9" s="33" t="n">
        <f aca="false">IF(OR($C9="",5&lt;$D9,5&gt;$E9),0,$C9*(1+N($F9))^(5-$D9))</f>
        <v>95508.72</v>
      </c>
      <c r="M9" s="33" t="n">
        <f aca="false">IF(OR($C9="",6&lt;$D9,6&gt;$E9),0,$C9*(1+N($F9))^(6-$D9))</f>
        <v>97418.8944</v>
      </c>
      <c r="N9" s="33" t="n">
        <f aca="false">IF(OR($C9="",7&lt;$D9,7&gt;$E9),0,$C9*(1+N($F9))^(7-$D9))</f>
        <v>99367.272288</v>
      </c>
      <c r="O9" s="33" t="n">
        <f aca="false">IF(OR($C9="",8&lt;$D9,8&gt;$E9),0,$C9*(1+N($F9))^(8-$D9))</f>
        <v>101354.61773376</v>
      </c>
      <c r="P9" s="33" t="n">
        <f aca="false">IF(OR($C9="",9&lt;$D9,9&gt;$E9),0,$C9*(1+N($F9))^(9-$D9))</f>
        <v>103381.710088435</v>
      </c>
      <c r="Q9" s="33" t="n">
        <f aca="false">IF(OR($C9="",10&lt;$D9,10&gt;$E9),0,$C9*(1+N($F9))^(10-$D9))</f>
        <v>105449.344290204</v>
      </c>
      <c r="R9" s="33" t="n">
        <f aca="false">IF(OR($C9="",11&lt;$D9,11&gt;$E9),0,$C9*(1+N($F9))^(11-$D9))</f>
        <v>107558.331176008</v>
      </c>
      <c r="S9" s="33" t="n">
        <f aca="false">IF(OR($C9="",12&lt;$D9,12&gt;$E9),0,$C9*(1+N($F9))^(12-$D9))</f>
        <v>109709.497799528</v>
      </c>
      <c r="T9" s="33" t="n">
        <f aca="false">IF(OR($C9="",13&lt;$D9,13&gt;$E9),0,$C9*(1+N($F9))^(13-$D9))</f>
        <v>111903.687755519</v>
      </c>
      <c r="U9" s="33" t="n">
        <f aca="false">IF(OR($C9="",14&lt;$D9,14&gt;$E9),0,$C9*(1+N($F9))^(14-$D9))</f>
        <v>114141.761510629</v>
      </c>
      <c r="V9" s="33" t="n">
        <f aca="false">IF(OR($C9="",15&lt;$D9,15&gt;$E9),0,$C9*(1+N($F9))^(15-$D9))</f>
        <v>116424.596740842</v>
      </c>
      <c r="W9" s="33" t="n">
        <f aca="false">IF(OR($C9="",16&lt;$D9,16&gt;$E9),0,$C9*(1+N($F9))^(16-$D9))</f>
        <v>0</v>
      </c>
      <c r="X9" s="33" t="n">
        <f aca="false">IF(OR($C9="",17&lt;$D9,17&gt;$E9),0,$C9*(1+N($F9))^(17-$D9))</f>
        <v>0</v>
      </c>
      <c r="Y9" s="33" t="n">
        <f aca="false">IF(OR($C9="",18&lt;$D9,18&gt;$E9),0,$C9*(1+N($F9))^(18-$D9))</f>
        <v>0</v>
      </c>
      <c r="Z9" s="33" t="n">
        <f aca="false">IF(OR($C9="",19&lt;$D9,19&gt;$E9),0,$C9*(1+N($F9))^(19-$D9))</f>
        <v>0</v>
      </c>
      <c r="AA9" s="33" t="n">
        <f aca="false">IF(OR($C9="",20&lt;$D9,20&gt;$E9),0,$C9*(1+N($F9))^(20-$D9))</f>
        <v>0</v>
      </c>
    </row>
    <row r="10" customFormat="false" ht="15" hidden="false" customHeight="false" outlineLevel="0" collapsed="false">
      <c r="A10" s="6" t="s">
        <v>116</v>
      </c>
      <c r="B10" s="6" t="s">
        <v>65</v>
      </c>
      <c r="C10" s="30" t="n">
        <v>70000</v>
      </c>
      <c r="D10" s="31" t="n">
        <v>2</v>
      </c>
      <c r="E10" s="31" t="n">
        <v>15</v>
      </c>
      <c r="F10" s="32" t="n">
        <v>0.02</v>
      </c>
      <c r="G10" s="33" t="n">
        <f aca="false">IF(OR($C10="",0&lt;$D10,0&gt;$E10),0,$C10*(1+N($F10))^(0-$D10))</f>
        <v>0</v>
      </c>
      <c r="H10" s="33" t="n">
        <f aca="false">IF(OR($C10="",1&lt;$D10,1&gt;$E10),0,$C10*(1+N($F10))^(1-$D10))</f>
        <v>0</v>
      </c>
      <c r="I10" s="33" t="n">
        <f aca="false">IF(OR($C10="",2&lt;$D10,2&gt;$E10),0,$C10*(1+N($F10))^(2-$D10))</f>
        <v>70000</v>
      </c>
      <c r="J10" s="33" t="n">
        <f aca="false">IF(OR($C10="",3&lt;$D10,3&gt;$E10),0,$C10*(1+N($F10))^(3-$D10))</f>
        <v>71400</v>
      </c>
      <c r="K10" s="33" t="n">
        <f aca="false">IF(OR($C10="",4&lt;$D10,4&gt;$E10),0,$C10*(1+N($F10))^(4-$D10))</f>
        <v>72828</v>
      </c>
      <c r="L10" s="33" t="n">
        <f aca="false">IF(OR($C10="",5&lt;$D10,5&gt;$E10),0,$C10*(1+N($F10))^(5-$D10))</f>
        <v>74284.56</v>
      </c>
      <c r="M10" s="33" t="n">
        <f aca="false">IF(OR($C10="",6&lt;$D10,6&gt;$E10),0,$C10*(1+N($F10))^(6-$D10))</f>
        <v>75770.2512</v>
      </c>
      <c r="N10" s="33" t="n">
        <f aca="false">IF(OR($C10="",7&lt;$D10,7&gt;$E10),0,$C10*(1+N($F10))^(7-$D10))</f>
        <v>77285.656224</v>
      </c>
      <c r="O10" s="33" t="n">
        <f aca="false">IF(OR($C10="",8&lt;$D10,8&gt;$E10),0,$C10*(1+N($F10))^(8-$D10))</f>
        <v>78831.36934848</v>
      </c>
      <c r="P10" s="33" t="n">
        <f aca="false">IF(OR($C10="",9&lt;$D10,9&gt;$E10),0,$C10*(1+N($F10))^(9-$D10))</f>
        <v>80407.9967354496</v>
      </c>
      <c r="Q10" s="33" t="n">
        <f aca="false">IF(OR($C10="",10&lt;$D10,10&gt;$E10),0,$C10*(1+N($F10))^(10-$D10))</f>
        <v>82016.1566701586</v>
      </c>
      <c r="R10" s="33" t="n">
        <f aca="false">IF(OR($C10="",11&lt;$D10,11&gt;$E10),0,$C10*(1+N($F10))^(11-$D10))</f>
        <v>83656.4798035618</v>
      </c>
      <c r="S10" s="33" t="n">
        <f aca="false">IF(OR($C10="",12&lt;$D10,12&gt;$E10),0,$C10*(1+N($F10))^(12-$D10))</f>
        <v>85329.609399633</v>
      </c>
      <c r="T10" s="33" t="n">
        <f aca="false">IF(OR($C10="",13&lt;$D10,13&gt;$E10),0,$C10*(1+N($F10))^(13-$D10))</f>
        <v>87036.2015876257</v>
      </c>
      <c r="U10" s="33" t="n">
        <f aca="false">IF(OR($C10="",14&lt;$D10,14&gt;$E10),0,$C10*(1+N($F10))^(14-$D10))</f>
        <v>88776.9256193782</v>
      </c>
      <c r="V10" s="33" t="n">
        <f aca="false">IF(OR($C10="",15&lt;$D10,15&gt;$E10),0,$C10*(1+N($F10))^(15-$D10))</f>
        <v>90552.4641317658</v>
      </c>
      <c r="W10" s="33" t="n">
        <f aca="false">IF(OR($C10="",16&lt;$D10,16&gt;$E10),0,$C10*(1+N($F10))^(16-$D10))</f>
        <v>0</v>
      </c>
      <c r="X10" s="33" t="n">
        <f aca="false">IF(OR($C10="",17&lt;$D10,17&gt;$E10),0,$C10*(1+N($F10))^(17-$D10))</f>
        <v>0</v>
      </c>
      <c r="Y10" s="33" t="n">
        <f aca="false">IF(OR($C10="",18&lt;$D10,18&gt;$E10),0,$C10*(1+N($F10))^(18-$D10))</f>
        <v>0</v>
      </c>
      <c r="Z10" s="33" t="n">
        <f aca="false">IF(OR($C10="",19&lt;$D10,19&gt;$E10),0,$C10*(1+N($F10))^(19-$D10))</f>
        <v>0</v>
      </c>
      <c r="AA10" s="33" t="n">
        <f aca="false">IF(OR($C10="",20&lt;$D10,20&gt;$E10),0,$C10*(1+N($F10))^(20-$D10))</f>
        <v>0</v>
      </c>
    </row>
    <row r="11" customFormat="false" ht="15" hidden="false" customHeight="false" outlineLevel="0" collapsed="false">
      <c r="A11" s="6" t="s">
        <v>117</v>
      </c>
      <c r="B11" s="6" t="s">
        <v>61</v>
      </c>
      <c r="C11" s="30" t="n">
        <v>25000</v>
      </c>
      <c r="D11" s="31" t="n">
        <v>1</v>
      </c>
      <c r="E11" s="31" t="n">
        <v>15</v>
      </c>
      <c r="F11" s="32" t="n">
        <v>0</v>
      </c>
      <c r="G11" s="33" t="n">
        <f aca="false">IF(OR($C11="",0&lt;$D11,0&gt;$E11),0,$C11*(1+N($F11))^(0-$D11))</f>
        <v>0</v>
      </c>
      <c r="H11" s="33" t="n">
        <f aca="false">IF(OR($C11="",1&lt;$D11,1&gt;$E11),0,$C11*(1+N($F11))^(1-$D11))</f>
        <v>25000</v>
      </c>
      <c r="I11" s="33" t="n">
        <f aca="false">IF(OR($C11="",2&lt;$D11,2&gt;$E11),0,$C11*(1+N($F11))^(2-$D11))</f>
        <v>25000</v>
      </c>
      <c r="J11" s="33" t="n">
        <f aca="false">IF(OR($C11="",3&lt;$D11,3&gt;$E11),0,$C11*(1+N($F11))^(3-$D11))</f>
        <v>25000</v>
      </c>
      <c r="K11" s="33" t="n">
        <f aca="false">IF(OR($C11="",4&lt;$D11,4&gt;$E11),0,$C11*(1+N($F11))^(4-$D11))</f>
        <v>25000</v>
      </c>
      <c r="L11" s="33" t="n">
        <f aca="false">IF(OR($C11="",5&lt;$D11,5&gt;$E11),0,$C11*(1+N($F11))^(5-$D11))</f>
        <v>25000</v>
      </c>
      <c r="M11" s="33" t="n">
        <f aca="false">IF(OR($C11="",6&lt;$D11,6&gt;$E11),0,$C11*(1+N($F11))^(6-$D11))</f>
        <v>25000</v>
      </c>
      <c r="N11" s="33" t="n">
        <f aca="false">IF(OR($C11="",7&lt;$D11,7&gt;$E11),0,$C11*(1+N($F11))^(7-$D11))</f>
        <v>25000</v>
      </c>
      <c r="O11" s="33" t="n">
        <f aca="false">IF(OR($C11="",8&lt;$D11,8&gt;$E11),0,$C11*(1+N($F11))^(8-$D11))</f>
        <v>25000</v>
      </c>
      <c r="P11" s="33" t="n">
        <f aca="false">IF(OR($C11="",9&lt;$D11,9&gt;$E11),0,$C11*(1+N($F11))^(9-$D11))</f>
        <v>25000</v>
      </c>
      <c r="Q11" s="33" t="n">
        <f aca="false">IF(OR($C11="",10&lt;$D11,10&gt;$E11),0,$C11*(1+N($F11))^(10-$D11))</f>
        <v>25000</v>
      </c>
      <c r="R11" s="33" t="n">
        <f aca="false">IF(OR($C11="",11&lt;$D11,11&gt;$E11),0,$C11*(1+N($F11))^(11-$D11))</f>
        <v>25000</v>
      </c>
      <c r="S11" s="33" t="n">
        <f aca="false">IF(OR($C11="",12&lt;$D11,12&gt;$E11),0,$C11*(1+N($F11))^(12-$D11))</f>
        <v>25000</v>
      </c>
      <c r="T11" s="33" t="n">
        <f aca="false">IF(OR($C11="",13&lt;$D11,13&gt;$E11),0,$C11*(1+N($F11))^(13-$D11))</f>
        <v>25000</v>
      </c>
      <c r="U11" s="33" t="n">
        <f aca="false">IF(OR($C11="",14&lt;$D11,14&gt;$E11),0,$C11*(1+N($F11))^(14-$D11))</f>
        <v>25000</v>
      </c>
      <c r="V11" s="33" t="n">
        <f aca="false">IF(OR($C11="",15&lt;$D11,15&gt;$E11),0,$C11*(1+N($F11))^(15-$D11))</f>
        <v>25000</v>
      </c>
      <c r="W11" s="33" t="n">
        <f aca="false">IF(OR($C11="",16&lt;$D11,16&gt;$E11),0,$C11*(1+N($F11))^(16-$D11))</f>
        <v>0</v>
      </c>
      <c r="X11" s="33" t="n">
        <f aca="false">IF(OR($C11="",17&lt;$D11,17&gt;$E11),0,$C11*(1+N($F11))^(17-$D11))</f>
        <v>0</v>
      </c>
      <c r="Y11" s="33" t="n">
        <f aca="false">IF(OR($C11="",18&lt;$D11,18&gt;$E11),0,$C11*(1+N($F11))^(18-$D11))</f>
        <v>0</v>
      </c>
      <c r="Z11" s="33" t="n">
        <f aca="false">IF(OR($C11="",19&lt;$D11,19&gt;$E11),0,$C11*(1+N($F11))^(19-$D11))</f>
        <v>0</v>
      </c>
      <c r="AA11" s="33" t="n">
        <f aca="false">IF(OR($C11="",20&lt;$D11,20&gt;$E11),0,$C11*(1+N($F11))^(20-$D11))</f>
        <v>0</v>
      </c>
    </row>
    <row r="12" customFormat="false" ht="15" hidden="false" customHeight="false" outlineLevel="0" collapsed="false">
      <c r="A12" s="6"/>
      <c r="B12" s="6"/>
      <c r="C12" s="30"/>
      <c r="D12" s="31"/>
      <c r="E12" s="31"/>
      <c r="F12" s="32"/>
      <c r="G12" s="33" t="n">
        <f aca="false">IF(OR($C12="",0&lt;$D12,0&gt;$E12),0,$C12*(1+N($F12))^(0-$D12))</f>
        <v>0</v>
      </c>
      <c r="H12" s="33" t="n">
        <f aca="false">IF(OR($C12="",1&lt;$D12,1&gt;$E12),0,$C12*(1+N($F12))^(1-$D12))</f>
        <v>0</v>
      </c>
      <c r="I12" s="33" t="n">
        <f aca="false">IF(OR($C12="",2&lt;$D12,2&gt;$E12),0,$C12*(1+N($F12))^(2-$D12))</f>
        <v>0</v>
      </c>
      <c r="J12" s="33" t="n">
        <f aca="false">IF(OR($C12="",3&lt;$D12,3&gt;$E12),0,$C12*(1+N($F12))^(3-$D12))</f>
        <v>0</v>
      </c>
      <c r="K12" s="33" t="n">
        <f aca="false">IF(OR($C12="",4&lt;$D12,4&gt;$E12),0,$C12*(1+N($F12))^(4-$D12))</f>
        <v>0</v>
      </c>
      <c r="L12" s="33" t="n">
        <f aca="false">IF(OR($C12="",5&lt;$D12,5&gt;$E12),0,$C12*(1+N($F12))^(5-$D12))</f>
        <v>0</v>
      </c>
      <c r="M12" s="33" t="n">
        <f aca="false">IF(OR($C12="",6&lt;$D12,6&gt;$E12),0,$C12*(1+N($F12))^(6-$D12))</f>
        <v>0</v>
      </c>
      <c r="N12" s="33" t="n">
        <f aca="false">IF(OR($C12="",7&lt;$D12,7&gt;$E12),0,$C12*(1+N($F12))^(7-$D12))</f>
        <v>0</v>
      </c>
      <c r="O12" s="33" t="n">
        <f aca="false">IF(OR($C12="",8&lt;$D12,8&gt;$E12),0,$C12*(1+N($F12))^(8-$D12))</f>
        <v>0</v>
      </c>
      <c r="P12" s="33" t="n">
        <f aca="false">IF(OR($C12="",9&lt;$D12,9&gt;$E12),0,$C12*(1+N($F12))^(9-$D12))</f>
        <v>0</v>
      </c>
      <c r="Q12" s="33" t="n">
        <f aca="false">IF(OR($C12="",10&lt;$D12,10&gt;$E12),0,$C12*(1+N($F12))^(10-$D12))</f>
        <v>0</v>
      </c>
      <c r="R12" s="33" t="n">
        <f aca="false">IF(OR($C12="",11&lt;$D12,11&gt;$E12),0,$C12*(1+N($F12))^(11-$D12))</f>
        <v>0</v>
      </c>
      <c r="S12" s="33" t="n">
        <f aca="false">IF(OR($C12="",12&lt;$D12,12&gt;$E12),0,$C12*(1+N($F12))^(12-$D12))</f>
        <v>0</v>
      </c>
      <c r="T12" s="33" t="n">
        <f aca="false">IF(OR($C12="",13&lt;$D12,13&gt;$E12),0,$C12*(1+N($F12))^(13-$D12))</f>
        <v>0</v>
      </c>
      <c r="U12" s="33" t="n">
        <f aca="false">IF(OR($C12="",14&lt;$D12,14&gt;$E12),0,$C12*(1+N($F12))^(14-$D12))</f>
        <v>0</v>
      </c>
      <c r="V12" s="33" t="n">
        <f aca="false">IF(OR($C12="",15&lt;$D12,15&gt;$E12),0,$C12*(1+N($F12))^(15-$D12))</f>
        <v>0</v>
      </c>
      <c r="W12" s="33" t="n">
        <f aca="false">IF(OR($C12="",16&lt;$D12,16&gt;$E12),0,$C12*(1+N($F12))^(16-$D12))</f>
        <v>0</v>
      </c>
      <c r="X12" s="33" t="n">
        <f aca="false">IF(OR($C12="",17&lt;$D12,17&gt;$E12),0,$C12*(1+N($F12))^(17-$D12))</f>
        <v>0</v>
      </c>
      <c r="Y12" s="33" t="n">
        <f aca="false">IF(OR($C12="",18&lt;$D12,18&gt;$E12),0,$C12*(1+N($F12))^(18-$D12))</f>
        <v>0</v>
      </c>
      <c r="Z12" s="33" t="n">
        <f aca="false">IF(OR($C12="",19&lt;$D12,19&gt;$E12),0,$C12*(1+N($F12))^(19-$D12))</f>
        <v>0</v>
      </c>
      <c r="AA12" s="33" t="n">
        <f aca="false">IF(OR($C12="",20&lt;$D12,20&gt;$E12),0,$C12*(1+N($F12))^(20-$D12))</f>
        <v>0</v>
      </c>
    </row>
    <row r="13" customFormat="false" ht="15" hidden="false" customHeight="false" outlineLevel="0" collapsed="false">
      <c r="A13" s="6"/>
      <c r="B13" s="6"/>
      <c r="C13" s="30"/>
      <c r="D13" s="31"/>
      <c r="E13" s="31"/>
      <c r="F13" s="32"/>
      <c r="G13" s="33" t="n">
        <f aca="false">IF(OR($C13="",0&lt;$D13,0&gt;$E13),0,$C13*(1+N($F13))^(0-$D13))</f>
        <v>0</v>
      </c>
      <c r="H13" s="33" t="n">
        <f aca="false">IF(OR($C13="",1&lt;$D13,1&gt;$E13),0,$C13*(1+N($F13))^(1-$D13))</f>
        <v>0</v>
      </c>
      <c r="I13" s="33" t="n">
        <f aca="false">IF(OR($C13="",2&lt;$D13,2&gt;$E13),0,$C13*(1+N($F13))^(2-$D13))</f>
        <v>0</v>
      </c>
      <c r="J13" s="33" t="n">
        <f aca="false">IF(OR($C13="",3&lt;$D13,3&gt;$E13),0,$C13*(1+N($F13))^(3-$D13))</f>
        <v>0</v>
      </c>
      <c r="K13" s="33" t="n">
        <f aca="false">IF(OR($C13="",4&lt;$D13,4&gt;$E13),0,$C13*(1+N($F13))^(4-$D13))</f>
        <v>0</v>
      </c>
      <c r="L13" s="33" t="n">
        <f aca="false">IF(OR($C13="",5&lt;$D13,5&gt;$E13),0,$C13*(1+N($F13))^(5-$D13))</f>
        <v>0</v>
      </c>
      <c r="M13" s="33" t="n">
        <f aca="false">IF(OR($C13="",6&lt;$D13,6&gt;$E13),0,$C13*(1+N($F13))^(6-$D13))</f>
        <v>0</v>
      </c>
      <c r="N13" s="33" t="n">
        <f aca="false">IF(OR($C13="",7&lt;$D13,7&gt;$E13),0,$C13*(1+N($F13))^(7-$D13))</f>
        <v>0</v>
      </c>
      <c r="O13" s="33" t="n">
        <f aca="false">IF(OR($C13="",8&lt;$D13,8&gt;$E13),0,$C13*(1+N($F13))^(8-$D13))</f>
        <v>0</v>
      </c>
      <c r="P13" s="33" t="n">
        <f aca="false">IF(OR($C13="",9&lt;$D13,9&gt;$E13),0,$C13*(1+N($F13))^(9-$D13))</f>
        <v>0</v>
      </c>
      <c r="Q13" s="33" t="n">
        <f aca="false">IF(OR($C13="",10&lt;$D13,10&gt;$E13),0,$C13*(1+N($F13))^(10-$D13))</f>
        <v>0</v>
      </c>
      <c r="R13" s="33" t="n">
        <f aca="false">IF(OR($C13="",11&lt;$D13,11&gt;$E13),0,$C13*(1+N($F13))^(11-$D13))</f>
        <v>0</v>
      </c>
      <c r="S13" s="33" t="n">
        <f aca="false">IF(OR($C13="",12&lt;$D13,12&gt;$E13),0,$C13*(1+N($F13))^(12-$D13))</f>
        <v>0</v>
      </c>
      <c r="T13" s="33" t="n">
        <f aca="false">IF(OR($C13="",13&lt;$D13,13&gt;$E13),0,$C13*(1+N($F13))^(13-$D13))</f>
        <v>0</v>
      </c>
      <c r="U13" s="33" t="n">
        <f aca="false">IF(OR($C13="",14&lt;$D13,14&gt;$E13),0,$C13*(1+N($F13))^(14-$D13))</f>
        <v>0</v>
      </c>
      <c r="V13" s="33" t="n">
        <f aca="false">IF(OR($C13="",15&lt;$D13,15&gt;$E13),0,$C13*(1+N($F13))^(15-$D13))</f>
        <v>0</v>
      </c>
      <c r="W13" s="33" t="n">
        <f aca="false">IF(OR($C13="",16&lt;$D13,16&gt;$E13),0,$C13*(1+N($F13))^(16-$D13))</f>
        <v>0</v>
      </c>
      <c r="X13" s="33" t="n">
        <f aca="false">IF(OR($C13="",17&lt;$D13,17&gt;$E13),0,$C13*(1+N($F13))^(17-$D13))</f>
        <v>0</v>
      </c>
      <c r="Y13" s="33" t="n">
        <f aca="false">IF(OR($C13="",18&lt;$D13,18&gt;$E13),0,$C13*(1+N($F13))^(18-$D13))</f>
        <v>0</v>
      </c>
      <c r="Z13" s="33" t="n">
        <f aca="false">IF(OR($C13="",19&lt;$D13,19&gt;$E13),0,$C13*(1+N($F13))^(19-$D13))</f>
        <v>0</v>
      </c>
      <c r="AA13" s="33" t="n">
        <f aca="false">IF(OR($C13="",20&lt;$D13,20&gt;$E13),0,$C13*(1+N($F13))^(20-$D13))</f>
        <v>0</v>
      </c>
    </row>
    <row r="14" customFormat="false" ht="15" hidden="false" customHeight="false" outlineLevel="0" collapsed="false">
      <c r="A14" s="6"/>
      <c r="B14" s="6"/>
      <c r="C14" s="30"/>
      <c r="D14" s="31"/>
      <c r="E14" s="31"/>
      <c r="F14" s="32"/>
      <c r="G14" s="33" t="n">
        <f aca="false">IF(OR($C14="",0&lt;$D14,0&gt;$E14),0,$C14*(1+N($F14))^(0-$D14))</f>
        <v>0</v>
      </c>
      <c r="H14" s="33" t="n">
        <f aca="false">IF(OR($C14="",1&lt;$D14,1&gt;$E14),0,$C14*(1+N($F14))^(1-$D14))</f>
        <v>0</v>
      </c>
      <c r="I14" s="33" t="n">
        <f aca="false">IF(OR($C14="",2&lt;$D14,2&gt;$E14),0,$C14*(1+N($F14))^(2-$D14))</f>
        <v>0</v>
      </c>
      <c r="J14" s="33" t="n">
        <f aca="false">IF(OR($C14="",3&lt;$D14,3&gt;$E14),0,$C14*(1+N($F14))^(3-$D14))</f>
        <v>0</v>
      </c>
      <c r="K14" s="33" t="n">
        <f aca="false">IF(OR($C14="",4&lt;$D14,4&gt;$E14),0,$C14*(1+N($F14))^(4-$D14))</f>
        <v>0</v>
      </c>
      <c r="L14" s="33" t="n">
        <f aca="false">IF(OR($C14="",5&lt;$D14,5&gt;$E14),0,$C14*(1+N($F14))^(5-$D14))</f>
        <v>0</v>
      </c>
      <c r="M14" s="33" t="n">
        <f aca="false">IF(OR($C14="",6&lt;$D14,6&gt;$E14),0,$C14*(1+N($F14))^(6-$D14))</f>
        <v>0</v>
      </c>
      <c r="N14" s="33" t="n">
        <f aca="false">IF(OR($C14="",7&lt;$D14,7&gt;$E14),0,$C14*(1+N($F14))^(7-$D14))</f>
        <v>0</v>
      </c>
      <c r="O14" s="33" t="n">
        <f aca="false">IF(OR($C14="",8&lt;$D14,8&gt;$E14),0,$C14*(1+N($F14))^(8-$D14))</f>
        <v>0</v>
      </c>
      <c r="P14" s="33" t="n">
        <f aca="false">IF(OR($C14="",9&lt;$D14,9&gt;$E14),0,$C14*(1+N($F14))^(9-$D14))</f>
        <v>0</v>
      </c>
      <c r="Q14" s="33" t="n">
        <f aca="false">IF(OR($C14="",10&lt;$D14,10&gt;$E14),0,$C14*(1+N($F14))^(10-$D14))</f>
        <v>0</v>
      </c>
      <c r="R14" s="33" t="n">
        <f aca="false">IF(OR($C14="",11&lt;$D14,11&gt;$E14),0,$C14*(1+N($F14))^(11-$D14))</f>
        <v>0</v>
      </c>
      <c r="S14" s="33" t="n">
        <f aca="false">IF(OR($C14="",12&lt;$D14,12&gt;$E14),0,$C14*(1+N($F14))^(12-$D14))</f>
        <v>0</v>
      </c>
      <c r="T14" s="33" t="n">
        <f aca="false">IF(OR($C14="",13&lt;$D14,13&gt;$E14),0,$C14*(1+N($F14))^(13-$D14))</f>
        <v>0</v>
      </c>
      <c r="U14" s="33" t="n">
        <f aca="false">IF(OR($C14="",14&lt;$D14,14&gt;$E14),0,$C14*(1+N($F14))^(14-$D14))</f>
        <v>0</v>
      </c>
      <c r="V14" s="33" t="n">
        <f aca="false">IF(OR($C14="",15&lt;$D14,15&gt;$E14),0,$C14*(1+N($F14))^(15-$D14))</f>
        <v>0</v>
      </c>
      <c r="W14" s="33" t="n">
        <f aca="false">IF(OR($C14="",16&lt;$D14,16&gt;$E14),0,$C14*(1+N($F14))^(16-$D14))</f>
        <v>0</v>
      </c>
      <c r="X14" s="33" t="n">
        <f aca="false">IF(OR($C14="",17&lt;$D14,17&gt;$E14),0,$C14*(1+N($F14))^(17-$D14))</f>
        <v>0</v>
      </c>
      <c r="Y14" s="33" t="n">
        <f aca="false">IF(OR($C14="",18&lt;$D14,18&gt;$E14),0,$C14*(1+N($F14))^(18-$D14))</f>
        <v>0</v>
      </c>
      <c r="Z14" s="33" t="n">
        <f aca="false">IF(OR($C14="",19&lt;$D14,19&gt;$E14),0,$C14*(1+N($F14))^(19-$D14))</f>
        <v>0</v>
      </c>
      <c r="AA14" s="33" t="n">
        <f aca="false">IF(OR($C14="",20&lt;$D14,20&gt;$E14),0,$C14*(1+N($F14))^(20-$D14))</f>
        <v>0</v>
      </c>
    </row>
    <row r="15" customFormat="false" ht="15" hidden="false" customHeight="false" outlineLevel="0" collapsed="false">
      <c r="A15" s="6"/>
      <c r="B15" s="6"/>
      <c r="C15" s="30"/>
      <c r="D15" s="31"/>
      <c r="E15" s="31"/>
      <c r="F15" s="32"/>
      <c r="G15" s="33" t="n">
        <f aca="false">IF(OR($C15="",0&lt;$D15,0&gt;$E15),0,$C15*(1+N($F15))^(0-$D15))</f>
        <v>0</v>
      </c>
      <c r="H15" s="33" t="n">
        <f aca="false">IF(OR($C15="",1&lt;$D15,1&gt;$E15),0,$C15*(1+N($F15))^(1-$D15))</f>
        <v>0</v>
      </c>
      <c r="I15" s="33" t="n">
        <f aca="false">IF(OR($C15="",2&lt;$D15,2&gt;$E15),0,$C15*(1+N($F15))^(2-$D15))</f>
        <v>0</v>
      </c>
      <c r="J15" s="33" t="n">
        <f aca="false">IF(OR($C15="",3&lt;$D15,3&gt;$E15),0,$C15*(1+N($F15))^(3-$D15))</f>
        <v>0</v>
      </c>
      <c r="K15" s="33" t="n">
        <f aca="false">IF(OR($C15="",4&lt;$D15,4&gt;$E15),0,$C15*(1+N($F15))^(4-$D15))</f>
        <v>0</v>
      </c>
      <c r="L15" s="33" t="n">
        <f aca="false">IF(OR($C15="",5&lt;$D15,5&gt;$E15),0,$C15*(1+N($F15))^(5-$D15))</f>
        <v>0</v>
      </c>
      <c r="M15" s="33" t="n">
        <f aca="false">IF(OR($C15="",6&lt;$D15,6&gt;$E15),0,$C15*(1+N($F15))^(6-$D15))</f>
        <v>0</v>
      </c>
      <c r="N15" s="33" t="n">
        <f aca="false">IF(OR($C15="",7&lt;$D15,7&gt;$E15),0,$C15*(1+N($F15))^(7-$D15))</f>
        <v>0</v>
      </c>
      <c r="O15" s="33" t="n">
        <f aca="false">IF(OR($C15="",8&lt;$D15,8&gt;$E15),0,$C15*(1+N($F15))^(8-$D15))</f>
        <v>0</v>
      </c>
      <c r="P15" s="33" t="n">
        <f aca="false">IF(OR($C15="",9&lt;$D15,9&gt;$E15),0,$C15*(1+N($F15))^(9-$D15))</f>
        <v>0</v>
      </c>
      <c r="Q15" s="33" t="n">
        <f aca="false">IF(OR($C15="",10&lt;$D15,10&gt;$E15),0,$C15*(1+N($F15))^(10-$D15))</f>
        <v>0</v>
      </c>
      <c r="R15" s="33" t="n">
        <f aca="false">IF(OR($C15="",11&lt;$D15,11&gt;$E15),0,$C15*(1+N($F15))^(11-$D15))</f>
        <v>0</v>
      </c>
      <c r="S15" s="33" t="n">
        <f aca="false">IF(OR($C15="",12&lt;$D15,12&gt;$E15),0,$C15*(1+N($F15))^(12-$D15))</f>
        <v>0</v>
      </c>
      <c r="T15" s="33" t="n">
        <f aca="false">IF(OR($C15="",13&lt;$D15,13&gt;$E15),0,$C15*(1+N($F15))^(13-$D15))</f>
        <v>0</v>
      </c>
      <c r="U15" s="33" t="n">
        <f aca="false">IF(OR($C15="",14&lt;$D15,14&gt;$E15),0,$C15*(1+N($F15))^(14-$D15))</f>
        <v>0</v>
      </c>
      <c r="V15" s="33" t="n">
        <f aca="false">IF(OR($C15="",15&lt;$D15,15&gt;$E15),0,$C15*(1+N($F15))^(15-$D15))</f>
        <v>0</v>
      </c>
      <c r="W15" s="33" t="n">
        <f aca="false">IF(OR($C15="",16&lt;$D15,16&gt;$E15),0,$C15*(1+N($F15))^(16-$D15))</f>
        <v>0</v>
      </c>
      <c r="X15" s="33" t="n">
        <f aca="false">IF(OR($C15="",17&lt;$D15,17&gt;$E15),0,$C15*(1+N($F15))^(17-$D15))</f>
        <v>0</v>
      </c>
      <c r="Y15" s="33" t="n">
        <f aca="false">IF(OR($C15="",18&lt;$D15,18&gt;$E15),0,$C15*(1+N($F15))^(18-$D15))</f>
        <v>0</v>
      </c>
      <c r="Z15" s="33" t="n">
        <f aca="false">IF(OR($C15="",19&lt;$D15,19&gt;$E15),0,$C15*(1+N($F15))^(19-$D15))</f>
        <v>0</v>
      </c>
      <c r="AA15" s="33" t="n">
        <f aca="false">IF(OR($C15="",20&lt;$D15,20&gt;$E15),0,$C15*(1+N($F15))^(20-$D15))</f>
        <v>0</v>
      </c>
    </row>
    <row r="16" customFormat="false" ht="15" hidden="false" customHeight="false" outlineLevel="0" collapsed="false">
      <c r="A16" s="6"/>
      <c r="B16" s="6"/>
      <c r="C16" s="30"/>
      <c r="D16" s="31"/>
      <c r="E16" s="31"/>
      <c r="F16" s="32"/>
      <c r="G16" s="33" t="n">
        <f aca="false">IF(OR($C16="",0&lt;$D16,0&gt;$E16),0,$C16*(1+N($F16))^(0-$D16))</f>
        <v>0</v>
      </c>
      <c r="H16" s="33" t="n">
        <f aca="false">IF(OR($C16="",1&lt;$D16,1&gt;$E16),0,$C16*(1+N($F16))^(1-$D16))</f>
        <v>0</v>
      </c>
      <c r="I16" s="33" t="n">
        <f aca="false">IF(OR($C16="",2&lt;$D16,2&gt;$E16),0,$C16*(1+N($F16))^(2-$D16))</f>
        <v>0</v>
      </c>
      <c r="J16" s="33" t="n">
        <f aca="false">IF(OR($C16="",3&lt;$D16,3&gt;$E16),0,$C16*(1+N($F16))^(3-$D16))</f>
        <v>0</v>
      </c>
      <c r="K16" s="33" t="n">
        <f aca="false">IF(OR($C16="",4&lt;$D16,4&gt;$E16),0,$C16*(1+N($F16))^(4-$D16))</f>
        <v>0</v>
      </c>
      <c r="L16" s="33" t="n">
        <f aca="false">IF(OR($C16="",5&lt;$D16,5&gt;$E16),0,$C16*(1+N($F16))^(5-$D16))</f>
        <v>0</v>
      </c>
      <c r="M16" s="33" t="n">
        <f aca="false">IF(OR($C16="",6&lt;$D16,6&gt;$E16),0,$C16*(1+N($F16))^(6-$D16))</f>
        <v>0</v>
      </c>
      <c r="N16" s="33" t="n">
        <f aca="false">IF(OR($C16="",7&lt;$D16,7&gt;$E16),0,$C16*(1+N($F16))^(7-$D16))</f>
        <v>0</v>
      </c>
      <c r="O16" s="33" t="n">
        <f aca="false">IF(OR($C16="",8&lt;$D16,8&gt;$E16),0,$C16*(1+N($F16))^(8-$D16))</f>
        <v>0</v>
      </c>
      <c r="P16" s="33" t="n">
        <f aca="false">IF(OR($C16="",9&lt;$D16,9&gt;$E16),0,$C16*(1+N($F16))^(9-$D16))</f>
        <v>0</v>
      </c>
      <c r="Q16" s="33" t="n">
        <f aca="false">IF(OR($C16="",10&lt;$D16,10&gt;$E16),0,$C16*(1+N($F16))^(10-$D16))</f>
        <v>0</v>
      </c>
      <c r="R16" s="33" t="n">
        <f aca="false">IF(OR($C16="",11&lt;$D16,11&gt;$E16),0,$C16*(1+N($F16))^(11-$D16))</f>
        <v>0</v>
      </c>
      <c r="S16" s="33" t="n">
        <f aca="false">IF(OR($C16="",12&lt;$D16,12&gt;$E16),0,$C16*(1+N($F16))^(12-$D16))</f>
        <v>0</v>
      </c>
      <c r="T16" s="33" t="n">
        <f aca="false">IF(OR($C16="",13&lt;$D16,13&gt;$E16),0,$C16*(1+N($F16))^(13-$D16))</f>
        <v>0</v>
      </c>
      <c r="U16" s="33" t="n">
        <f aca="false">IF(OR($C16="",14&lt;$D16,14&gt;$E16),0,$C16*(1+N($F16))^(14-$D16))</f>
        <v>0</v>
      </c>
      <c r="V16" s="33" t="n">
        <f aca="false">IF(OR($C16="",15&lt;$D16,15&gt;$E16),0,$C16*(1+N($F16))^(15-$D16))</f>
        <v>0</v>
      </c>
      <c r="W16" s="33" t="n">
        <f aca="false">IF(OR($C16="",16&lt;$D16,16&gt;$E16),0,$C16*(1+N($F16))^(16-$D16))</f>
        <v>0</v>
      </c>
      <c r="X16" s="33" t="n">
        <f aca="false">IF(OR($C16="",17&lt;$D16,17&gt;$E16),0,$C16*(1+N($F16))^(17-$D16))</f>
        <v>0</v>
      </c>
      <c r="Y16" s="33" t="n">
        <f aca="false">IF(OR($C16="",18&lt;$D16,18&gt;$E16),0,$C16*(1+N($F16))^(18-$D16))</f>
        <v>0</v>
      </c>
      <c r="Z16" s="33" t="n">
        <f aca="false">IF(OR($C16="",19&lt;$D16,19&gt;$E16),0,$C16*(1+N($F16))^(19-$D16))</f>
        <v>0</v>
      </c>
      <c r="AA16" s="33" t="n">
        <f aca="false">IF(OR($C16="",20&lt;$D16,20&gt;$E16),0,$C16*(1+N($F16))^(20-$D16))</f>
        <v>0</v>
      </c>
    </row>
    <row r="17" customFormat="false" ht="15" hidden="false" customHeight="false" outlineLevel="0" collapsed="false">
      <c r="A17" s="6"/>
      <c r="B17" s="6"/>
      <c r="C17" s="30"/>
      <c r="D17" s="31"/>
      <c r="E17" s="31"/>
      <c r="F17" s="32"/>
      <c r="G17" s="33" t="n">
        <f aca="false">IF(OR($C17="",0&lt;$D17,0&gt;$E17),0,$C17*(1+N($F17))^(0-$D17))</f>
        <v>0</v>
      </c>
      <c r="H17" s="33" t="n">
        <f aca="false">IF(OR($C17="",1&lt;$D17,1&gt;$E17),0,$C17*(1+N($F17))^(1-$D17))</f>
        <v>0</v>
      </c>
      <c r="I17" s="33" t="n">
        <f aca="false">IF(OR($C17="",2&lt;$D17,2&gt;$E17),0,$C17*(1+N($F17))^(2-$D17))</f>
        <v>0</v>
      </c>
      <c r="J17" s="33" t="n">
        <f aca="false">IF(OR($C17="",3&lt;$D17,3&gt;$E17),0,$C17*(1+N($F17))^(3-$D17))</f>
        <v>0</v>
      </c>
      <c r="K17" s="33" t="n">
        <f aca="false">IF(OR($C17="",4&lt;$D17,4&gt;$E17),0,$C17*(1+N($F17))^(4-$D17))</f>
        <v>0</v>
      </c>
      <c r="L17" s="33" t="n">
        <f aca="false">IF(OR($C17="",5&lt;$D17,5&gt;$E17),0,$C17*(1+N($F17))^(5-$D17))</f>
        <v>0</v>
      </c>
      <c r="M17" s="33" t="n">
        <f aca="false">IF(OR($C17="",6&lt;$D17,6&gt;$E17),0,$C17*(1+N($F17))^(6-$D17))</f>
        <v>0</v>
      </c>
      <c r="N17" s="33" t="n">
        <f aca="false">IF(OR($C17="",7&lt;$D17,7&gt;$E17),0,$C17*(1+N($F17))^(7-$D17))</f>
        <v>0</v>
      </c>
      <c r="O17" s="33" t="n">
        <f aca="false">IF(OR($C17="",8&lt;$D17,8&gt;$E17),0,$C17*(1+N($F17))^(8-$D17))</f>
        <v>0</v>
      </c>
      <c r="P17" s="33" t="n">
        <f aca="false">IF(OR($C17="",9&lt;$D17,9&gt;$E17),0,$C17*(1+N($F17))^(9-$D17))</f>
        <v>0</v>
      </c>
      <c r="Q17" s="33" t="n">
        <f aca="false">IF(OR($C17="",10&lt;$D17,10&gt;$E17),0,$C17*(1+N($F17))^(10-$D17))</f>
        <v>0</v>
      </c>
      <c r="R17" s="33" t="n">
        <f aca="false">IF(OR($C17="",11&lt;$D17,11&gt;$E17),0,$C17*(1+N($F17))^(11-$D17))</f>
        <v>0</v>
      </c>
      <c r="S17" s="33" t="n">
        <f aca="false">IF(OR($C17="",12&lt;$D17,12&gt;$E17),0,$C17*(1+N($F17))^(12-$D17))</f>
        <v>0</v>
      </c>
      <c r="T17" s="33" t="n">
        <f aca="false">IF(OR($C17="",13&lt;$D17,13&gt;$E17),0,$C17*(1+N($F17))^(13-$D17))</f>
        <v>0</v>
      </c>
      <c r="U17" s="33" t="n">
        <f aca="false">IF(OR($C17="",14&lt;$D17,14&gt;$E17),0,$C17*(1+N($F17))^(14-$D17))</f>
        <v>0</v>
      </c>
      <c r="V17" s="33" t="n">
        <f aca="false">IF(OR($C17="",15&lt;$D17,15&gt;$E17),0,$C17*(1+N($F17))^(15-$D17))</f>
        <v>0</v>
      </c>
      <c r="W17" s="33" t="n">
        <f aca="false">IF(OR($C17="",16&lt;$D17,16&gt;$E17),0,$C17*(1+N($F17))^(16-$D17))</f>
        <v>0</v>
      </c>
      <c r="X17" s="33" t="n">
        <f aca="false">IF(OR($C17="",17&lt;$D17,17&gt;$E17),0,$C17*(1+N($F17))^(17-$D17))</f>
        <v>0</v>
      </c>
      <c r="Y17" s="33" t="n">
        <f aca="false">IF(OR($C17="",18&lt;$D17,18&gt;$E17),0,$C17*(1+N($F17))^(18-$D17))</f>
        <v>0</v>
      </c>
      <c r="Z17" s="33" t="n">
        <f aca="false">IF(OR($C17="",19&lt;$D17,19&gt;$E17),0,$C17*(1+N($F17))^(19-$D17))</f>
        <v>0</v>
      </c>
      <c r="AA17" s="33" t="n">
        <f aca="false">IF(OR($C17="",20&lt;$D17,20&gt;$E17),0,$C17*(1+N($F17))^(20-$D17))</f>
        <v>0</v>
      </c>
    </row>
    <row r="18" customFormat="false" ht="15" hidden="false" customHeight="false" outlineLevel="0" collapsed="false">
      <c r="A18" s="6"/>
      <c r="B18" s="6"/>
      <c r="C18" s="30"/>
      <c r="D18" s="31"/>
      <c r="E18" s="31"/>
      <c r="F18" s="32"/>
      <c r="G18" s="33" t="n">
        <f aca="false">IF(OR($C18="",0&lt;$D18,0&gt;$E18),0,$C18*(1+N($F18))^(0-$D18))</f>
        <v>0</v>
      </c>
      <c r="H18" s="33" t="n">
        <f aca="false">IF(OR($C18="",1&lt;$D18,1&gt;$E18),0,$C18*(1+N($F18))^(1-$D18))</f>
        <v>0</v>
      </c>
      <c r="I18" s="33" t="n">
        <f aca="false">IF(OR($C18="",2&lt;$D18,2&gt;$E18),0,$C18*(1+N($F18))^(2-$D18))</f>
        <v>0</v>
      </c>
      <c r="J18" s="33" t="n">
        <f aca="false">IF(OR($C18="",3&lt;$D18,3&gt;$E18),0,$C18*(1+N($F18))^(3-$D18))</f>
        <v>0</v>
      </c>
      <c r="K18" s="33" t="n">
        <f aca="false">IF(OR($C18="",4&lt;$D18,4&gt;$E18),0,$C18*(1+N($F18))^(4-$D18))</f>
        <v>0</v>
      </c>
      <c r="L18" s="33" t="n">
        <f aca="false">IF(OR($C18="",5&lt;$D18,5&gt;$E18),0,$C18*(1+N($F18))^(5-$D18))</f>
        <v>0</v>
      </c>
      <c r="M18" s="33" t="n">
        <f aca="false">IF(OR($C18="",6&lt;$D18,6&gt;$E18),0,$C18*(1+N($F18))^(6-$D18))</f>
        <v>0</v>
      </c>
      <c r="N18" s="33" t="n">
        <f aca="false">IF(OR($C18="",7&lt;$D18,7&gt;$E18),0,$C18*(1+N($F18))^(7-$D18))</f>
        <v>0</v>
      </c>
      <c r="O18" s="33" t="n">
        <f aca="false">IF(OR($C18="",8&lt;$D18,8&gt;$E18),0,$C18*(1+N($F18))^(8-$D18))</f>
        <v>0</v>
      </c>
      <c r="P18" s="33" t="n">
        <f aca="false">IF(OR($C18="",9&lt;$D18,9&gt;$E18),0,$C18*(1+N($F18))^(9-$D18))</f>
        <v>0</v>
      </c>
      <c r="Q18" s="33" t="n">
        <f aca="false">IF(OR($C18="",10&lt;$D18,10&gt;$E18),0,$C18*(1+N($F18))^(10-$D18))</f>
        <v>0</v>
      </c>
      <c r="R18" s="33" t="n">
        <f aca="false">IF(OR($C18="",11&lt;$D18,11&gt;$E18),0,$C18*(1+N($F18))^(11-$D18))</f>
        <v>0</v>
      </c>
      <c r="S18" s="33" t="n">
        <f aca="false">IF(OR($C18="",12&lt;$D18,12&gt;$E18),0,$C18*(1+N($F18))^(12-$D18))</f>
        <v>0</v>
      </c>
      <c r="T18" s="33" t="n">
        <f aca="false">IF(OR($C18="",13&lt;$D18,13&gt;$E18),0,$C18*(1+N($F18))^(13-$D18))</f>
        <v>0</v>
      </c>
      <c r="U18" s="33" t="n">
        <f aca="false">IF(OR($C18="",14&lt;$D18,14&gt;$E18),0,$C18*(1+N($F18))^(14-$D18))</f>
        <v>0</v>
      </c>
      <c r="V18" s="33" t="n">
        <f aca="false">IF(OR($C18="",15&lt;$D18,15&gt;$E18),0,$C18*(1+N($F18))^(15-$D18))</f>
        <v>0</v>
      </c>
      <c r="W18" s="33" t="n">
        <f aca="false">IF(OR($C18="",16&lt;$D18,16&gt;$E18),0,$C18*(1+N($F18))^(16-$D18))</f>
        <v>0</v>
      </c>
      <c r="X18" s="33" t="n">
        <f aca="false">IF(OR($C18="",17&lt;$D18,17&gt;$E18),0,$C18*(1+N($F18))^(17-$D18))</f>
        <v>0</v>
      </c>
      <c r="Y18" s="33" t="n">
        <f aca="false">IF(OR($C18="",18&lt;$D18,18&gt;$E18),0,$C18*(1+N($F18))^(18-$D18))</f>
        <v>0</v>
      </c>
      <c r="Z18" s="33" t="n">
        <f aca="false">IF(OR($C18="",19&lt;$D18,19&gt;$E18),0,$C18*(1+N($F18))^(19-$D18))</f>
        <v>0</v>
      </c>
      <c r="AA18" s="33" t="n">
        <f aca="false">IF(OR($C18="",20&lt;$D18,20&gt;$E18),0,$C18*(1+N($F18))^(20-$D18))</f>
        <v>0</v>
      </c>
    </row>
    <row r="19" customFormat="false" ht="15" hidden="false" customHeight="false" outlineLevel="0" collapsed="false">
      <c r="A19" s="6"/>
      <c r="B19" s="6"/>
      <c r="C19" s="30"/>
      <c r="D19" s="31"/>
      <c r="E19" s="31"/>
      <c r="F19" s="32"/>
      <c r="G19" s="33" t="n">
        <f aca="false">IF(OR($C19="",0&lt;$D19,0&gt;$E19),0,$C19*(1+N($F19))^(0-$D19))</f>
        <v>0</v>
      </c>
      <c r="H19" s="33" t="n">
        <f aca="false">IF(OR($C19="",1&lt;$D19,1&gt;$E19),0,$C19*(1+N($F19))^(1-$D19))</f>
        <v>0</v>
      </c>
      <c r="I19" s="33" t="n">
        <f aca="false">IF(OR($C19="",2&lt;$D19,2&gt;$E19),0,$C19*(1+N($F19))^(2-$D19))</f>
        <v>0</v>
      </c>
      <c r="J19" s="33" t="n">
        <f aca="false">IF(OR($C19="",3&lt;$D19,3&gt;$E19),0,$C19*(1+N($F19))^(3-$D19))</f>
        <v>0</v>
      </c>
      <c r="K19" s="33" t="n">
        <f aca="false">IF(OR($C19="",4&lt;$D19,4&gt;$E19),0,$C19*(1+N($F19))^(4-$D19))</f>
        <v>0</v>
      </c>
      <c r="L19" s="33" t="n">
        <f aca="false">IF(OR($C19="",5&lt;$D19,5&gt;$E19),0,$C19*(1+N($F19))^(5-$D19))</f>
        <v>0</v>
      </c>
      <c r="M19" s="33" t="n">
        <f aca="false">IF(OR($C19="",6&lt;$D19,6&gt;$E19),0,$C19*(1+N($F19))^(6-$D19))</f>
        <v>0</v>
      </c>
      <c r="N19" s="33" t="n">
        <f aca="false">IF(OR($C19="",7&lt;$D19,7&gt;$E19),0,$C19*(1+N($F19))^(7-$D19))</f>
        <v>0</v>
      </c>
      <c r="O19" s="33" t="n">
        <f aca="false">IF(OR($C19="",8&lt;$D19,8&gt;$E19),0,$C19*(1+N($F19))^(8-$D19))</f>
        <v>0</v>
      </c>
      <c r="P19" s="33" t="n">
        <f aca="false">IF(OR($C19="",9&lt;$D19,9&gt;$E19),0,$C19*(1+N($F19))^(9-$D19))</f>
        <v>0</v>
      </c>
      <c r="Q19" s="33" t="n">
        <f aca="false">IF(OR($C19="",10&lt;$D19,10&gt;$E19),0,$C19*(1+N($F19))^(10-$D19))</f>
        <v>0</v>
      </c>
      <c r="R19" s="33" t="n">
        <f aca="false">IF(OR($C19="",11&lt;$D19,11&gt;$E19),0,$C19*(1+N($F19))^(11-$D19))</f>
        <v>0</v>
      </c>
      <c r="S19" s="33" t="n">
        <f aca="false">IF(OR($C19="",12&lt;$D19,12&gt;$E19),0,$C19*(1+N($F19))^(12-$D19))</f>
        <v>0</v>
      </c>
      <c r="T19" s="33" t="n">
        <f aca="false">IF(OR($C19="",13&lt;$D19,13&gt;$E19),0,$C19*(1+N($F19))^(13-$D19))</f>
        <v>0</v>
      </c>
      <c r="U19" s="33" t="n">
        <f aca="false">IF(OR($C19="",14&lt;$D19,14&gt;$E19),0,$C19*(1+N($F19))^(14-$D19))</f>
        <v>0</v>
      </c>
      <c r="V19" s="33" t="n">
        <f aca="false">IF(OR($C19="",15&lt;$D19,15&gt;$E19),0,$C19*(1+N($F19))^(15-$D19))</f>
        <v>0</v>
      </c>
      <c r="W19" s="33" t="n">
        <f aca="false">IF(OR($C19="",16&lt;$D19,16&gt;$E19),0,$C19*(1+N($F19))^(16-$D19))</f>
        <v>0</v>
      </c>
      <c r="X19" s="33" t="n">
        <f aca="false">IF(OR($C19="",17&lt;$D19,17&gt;$E19),0,$C19*(1+N($F19))^(17-$D19))</f>
        <v>0</v>
      </c>
      <c r="Y19" s="33" t="n">
        <f aca="false">IF(OR($C19="",18&lt;$D19,18&gt;$E19),0,$C19*(1+N($F19))^(18-$D19))</f>
        <v>0</v>
      </c>
      <c r="Z19" s="33" t="n">
        <f aca="false">IF(OR($C19="",19&lt;$D19,19&gt;$E19),0,$C19*(1+N($F19))^(19-$D19))</f>
        <v>0</v>
      </c>
      <c r="AA19" s="33" t="n">
        <f aca="false">IF(OR($C19="",20&lt;$D19,20&gt;$E19),0,$C19*(1+N($F19))^(20-$D19))</f>
        <v>0</v>
      </c>
    </row>
    <row r="20" customFormat="false" ht="15" hidden="false" customHeight="false" outlineLevel="0" collapsed="false">
      <c r="A20" s="6"/>
      <c r="B20" s="6"/>
      <c r="C20" s="30"/>
      <c r="D20" s="31"/>
      <c r="E20" s="31"/>
      <c r="F20" s="32"/>
      <c r="G20" s="33" t="n">
        <f aca="false">IF(OR($C20="",0&lt;$D20,0&gt;$E20),0,$C20*(1+N($F20))^(0-$D20))</f>
        <v>0</v>
      </c>
      <c r="H20" s="33" t="n">
        <f aca="false">IF(OR($C20="",1&lt;$D20,1&gt;$E20),0,$C20*(1+N($F20))^(1-$D20))</f>
        <v>0</v>
      </c>
      <c r="I20" s="33" t="n">
        <f aca="false">IF(OR($C20="",2&lt;$D20,2&gt;$E20),0,$C20*(1+N($F20))^(2-$D20))</f>
        <v>0</v>
      </c>
      <c r="J20" s="33" t="n">
        <f aca="false">IF(OR($C20="",3&lt;$D20,3&gt;$E20),0,$C20*(1+N($F20))^(3-$D20))</f>
        <v>0</v>
      </c>
      <c r="K20" s="33" t="n">
        <f aca="false">IF(OR($C20="",4&lt;$D20,4&gt;$E20),0,$C20*(1+N($F20))^(4-$D20))</f>
        <v>0</v>
      </c>
      <c r="L20" s="33" t="n">
        <f aca="false">IF(OR($C20="",5&lt;$D20,5&gt;$E20),0,$C20*(1+N($F20))^(5-$D20))</f>
        <v>0</v>
      </c>
      <c r="M20" s="33" t="n">
        <f aca="false">IF(OR($C20="",6&lt;$D20,6&gt;$E20),0,$C20*(1+N($F20))^(6-$D20))</f>
        <v>0</v>
      </c>
      <c r="N20" s="33" t="n">
        <f aca="false">IF(OR($C20="",7&lt;$D20,7&gt;$E20),0,$C20*(1+N($F20))^(7-$D20))</f>
        <v>0</v>
      </c>
      <c r="O20" s="33" t="n">
        <f aca="false">IF(OR($C20="",8&lt;$D20,8&gt;$E20),0,$C20*(1+N($F20))^(8-$D20))</f>
        <v>0</v>
      </c>
      <c r="P20" s="33" t="n">
        <f aca="false">IF(OR($C20="",9&lt;$D20,9&gt;$E20),0,$C20*(1+N($F20))^(9-$D20))</f>
        <v>0</v>
      </c>
      <c r="Q20" s="33" t="n">
        <f aca="false">IF(OR($C20="",10&lt;$D20,10&gt;$E20),0,$C20*(1+N($F20))^(10-$D20))</f>
        <v>0</v>
      </c>
      <c r="R20" s="33" t="n">
        <f aca="false">IF(OR($C20="",11&lt;$D20,11&gt;$E20),0,$C20*(1+N($F20))^(11-$D20))</f>
        <v>0</v>
      </c>
      <c r="S20" s="33" t="n">
        <f aca="false">IF(OR($C20="",12&lt;$D20,12&gt;$E20),0,$C20*(1+N($F20))^(12-$D20))</f>
        <v>0</v>
      </c>
      <c r="T20" s="33" t="n">
        <f aca="false">IF(OR($C20="",13&lt;$D20,13&gt;$E20),0,$C20*(1+N($F20))^(13-$D20))</f>
        <v>0</v>
      </c>
      <c r="U20" s="33" t="n">
        <f aca="false">IF(OR($C20="",14&lt;$D20,14&gt;$E20),0,$C20*(1+N($F20))^(14-$D20))</f>
        <v>0</v>
      </c>
      <c r="V20" s="33" t="n">
        <f aca="false">IF(OR($C20="",15&lt;$D20,15&gt;$E20),0,$C20*(1+N($F20))^(15-$D20))</f>
        <v>0</v>
      </c>
      <c r="W20" s="33" t="n">
        <f aca="false">IF(OR($C20="",16&lt;$D20,16&gt;$E20),0,$C20*(1+N($F20))^(16-$D20))</f>
        <v>0</v>
      </c>
      <c r="X20" s="33" t="n">
        <f aca="false">IF(OR($C20="",17&lt;$D20,17&gt;$E20),0,$C20*(1+N($F20))^(17-$D20))</f>
        <v>0</v>
      </c>
      <c r="Y20" s="33" t="n">
        <f aca="false">IF(OR($C20="",18&lt;$D20,18&gt;$E20),0,$C20*(1+N($F20))^(18-$D20))</f>
        <v>0</v>
      </c>
      <c r="Z20" s="33" t="n">
        <f aca="false">IF(OR($C20="",19&lt;$D20,19&gt;$E20),0,$C20*(1+N($F20))^(19-$D20))</f>
        <v>0</v>
      </c>
      <c r="AA20" s="33" t="n">
        <f aca="false">IF(OR($C20="",20&lt;$D20,20&gt;$E20),0,$C20*(1+N($F20))^(20-$D20))</f>
        <v>0</v>
      </c>
    </row>
    <row r="21" customFormat="false" ht="15" hidden="false" customHeight="false" outlineLevel="0" collapsed="false">
      <c r="A21" s="6"/>
      <c r="B21" s="6"/>
      <c r="C21" s="30"/>
      <c r="D21" s="31"/>
      <c r="E21" s="31"/>
      <c r="F21" s="32"/>
      <c r="G21" s="33" t="n">
        <f aca="false">IF(OR($C21="",0&lt;$D21,0&gt;$E21),0,$C21*(1+N($F21))^(0-$D21))</f>
        <v>0</v>
      </c>
      <c r="H21" s="33" t="n">
        <f aca="false">IF(OR($C21="",1&lt;$D21,1&gt;$E21),0,$C21*(1+N($F21))^(1-$D21))</f>
        <v>0</v>
      </c>
      <c r="I21" s="33" t="n">
        <f aca="false">IF(OR($C21="",2&lt;$D21,2&gt;$E21),0,$C21*(1+N($F21))^(2-$D21))</f>
        <v>0</v>
      </c>
      <c r="J21" s="33" t="n">
        <f aca="false">IF(OR($C21="",3&lt;$D21,3&gt;$E21),0,$C21*(1+N($F21))^(3-$D21))</f>
        <v>0</v>
      </c>
      <c r="K21" s="33" t="n">
        <f aca="false">IF(OR($C21="",4&lt;$D21,4&gt;$E21),0,$C21*(1+N($F21))^(4-$D21))</f>
        <v>0</v>
      </c>
      <c r="L21" s="33" t="n">
        <f aca="false">IF(OR($C21="",5&lt;$D21,5&gt;$E21),0,$C21*(1+N($F21))^(5-$D21))</f>
        <v>0</v>
      </c>
      <c r="M21" s="33" t="n">
        <f aca="false">IF(OR($C21="",6&lt;$D21,6&gt;$E21),0,$C21*(1+N($F21))^(6-$D21))</f>
        <v>0</v>
      </c>
      <c r="N21" s="33" t="n">
        <f aca="false">IF(OR($C21="",7&lt;$D21,7&gt;$E21),0,$C21*(1+N($F21))^(7-$D21))</f>
        <v>0</v>
      </c>
      <c r="O21" s="33" t="n">
        <f aca="false">IF(OR($C21="",8&lt;$D21,8&gt;$E21),0,$C21*(1+N($F21))^(8-$D21))</f>
        <v>0</v>
      </c>
      <c r="P21" s="33" t="n">
        <f aca="false">IF(OR($C21="",9&lt;$D21,9&gt;$E21),0,$C21*(1+N($F21))^(9-$D21))</f>
        <v>0</v>
      </c>
      <c r="Q21" s="33" t="n">
        <f aca="false">IF(OR($C21="",10&lt;$D21,10&gt;$E21),0,$C21*(1+N($F21))^(10-$D21))</f>
        <v>0</v>
      </c>
      <c r="R21" s="33" t="n">
        <f aca="false">IF(OR($C21="",11&lt;$D21,11&gt;$E21),0,$C21*(1+N($F21))^(11-$D21))</f>
        <v>0</v>
      </c>
      <c r="S21" s="33" t="n">
        <f aca="false">IF(OR($C21="",12&lt;$D21,12&gt;$E21),0,$C21*(1+N($F21))^(12-$D21))</f>
        <v>0</v>
      </c>
      <c r="T21" s="33" t="n">
        <f aca="false">IF(OR($C21="",13&lt;$D21,13&gt;$E21),0,$C21*(1+N($F21))^(13-$D21))</f>
        <v>0</v>
      </c>
      <c r="U21" s="33" t="n">
        <f aca="false">IF(OR($C21="",14&lt;$D21,14&gt;$E21),0,$C21*(1+N($F21))^(14-$D21))</f>
        <v>0</v>
      </c>
      <c r="V21" s="33" t="n">
        <f aca="false">IF(OR($C21="",15&lt;$D21,15&gt;$E21),0,$C21*(1+N($F21))^(15-$D21))</f>
        <v>0</v>
      </c>
      <c r="W21" s="33" t="n">
        <f aca="false">IF(OR($C21="",16&lt;$D21,16&gt;$E21),0,$C21*(1+N($F21))^(16-$D21))</f>
        <v>0</v>
      </c>
      <c r="X21" s="33" t="n">
        <f aca="false">IF(OR($C21="",17&lt;$D21,17&gt;$E21),0,$C21*(1+N($F21))^(17-$D21))</f>
        <v>0</v>
      </c>
      <c r="Y21" s="33" t="n">
        <f aca="false">IF(OR($C21="",18&lt;$D21,18&gt;$E21),0,$C21*(1+N($F21))^(18-$D21))</f>
        <v>0</v>
      </c>
      <c r="Z21" s="33" t="n">
        <f aca="false">IF(OR($C21="",19&lt;$D21,19&gt;$E21),0,$C21*(1+N($F21))^(19-$D21))</f>
        <v>0</v>
      </c>
      <c r="AA21" s="33" t="n">
        <f aca="false">IF(OR($C21="",20&lt;$D21,20&gt;$E21),0,$C21*(1+N($F21))^(20-$D21))</f>
        <v>0</v>
      </c>
    </row>
    <row r="22" customFormat="false" ht="15" hidden="false" customHeight="false" outlineLevel="0" collapsed="false">
      <c r="A22" s="6"/>
      <c r="B22" s="6"/>
      <c r="C22" s="30"/>
      <c r="D22" s="31"/>
      <c r="E22" s="31"/>
      <c r="F22" s="32"/>
      <c r="G22" s="33" t="n">
        <f aca="false">IF(OR($C22="",0&lt;$D22,0&gt;$E22),0,$C22*(1+N($F22))^(0-$D22))</f>
        <v>0</v>
      </c>
      <c r="H22" s="33" t="n">
        <f aca="false">IF(OR($C22="",1&lt;$D22,1&gt;$E22),0,$C22*(1+N($F22))^(1-$D22))</f>
        <v>0</v>
      </c>
      <c r="I22" s="33" t="n">
        <f aca="false">IF(OR($C22="",2&lt;$D22,2&gt;$E22),0,$C22*(1+N($F22))^(2-$D22))</f>
        <v>0</v>
      </c>
      <c r="J22" s="33" t="n">
        <f aca="false">IF(OR($C22="",3&lt;$D22,3&gt;$E22),0,$C22*(1+N($F22))^(3-$D22))</f>
        <v>0</v>
      </c>
      <c r="K22" s="33" t="n">
        <f aca="false">IF(OR($C22="",4&lt;$D22,4&gt;$E22),0,$C22*(1+N($F22))^(4-$D22))</f>
        <v>0</v>
      </c>
      <c r="L22" s="33" t="n">
        <f aca="false">IF(OR($C22="",5&lt;$D22,5&gt;$E22),0,$C22*(1+N($F22))^(5-$D22))</f>
        <v>0</v>
      </c>
      <c r="M22" s="33" t="n">
        <f aca="false">IF(OR($C22="",6&lt;$D22,6&gt;$E22),0,$C22*(1+N($F22))^(6-$D22))</f>
        <v>0</v>
      </c>
      <c r="N22" s="33" t="n">
        <f aca="false">IF(OR($C22="",7&lt;$D22,7&gt;$E22),0,$C22*(1+N($F22))^(7-$D22))</f>
        <v>0</v>
      </c>
      <c r="O22" s="33" t="n">
        <f aca="false">IF(OR($C22="",8&lt;$D22,8&gt;$E22),0,$C22*(1+N($F22))^(8-$D22))</f>
        <v>0</v>
      </c>
      <c r="P22" s="33" t="n">
        <f aca="false">IF(OR($C22="",9&lt;$D22,9&gt;$E22),0,$C22*(1+N($F22))^(9-$D22))</f>
        <v>0</v>
      </c>
      <c r="Q22" s="33" t="n">
        <f aca="false">IF(OR($C22="",10&lt;$D22,10&gt;$E22),0,$C22*(1+N($F22))^(10-$D22))</f>
        <v>0</v>
      </c>
      <c r="R22" s="33" t="n">
        <f aca="false">IF(OR($C22="",11&lt;$D22,11&gt;$E22),0,$C22*(1+N($F22))^(11-$D22))</f>
        <v>0</v>
      </c>
      <c r="S22" s="33" t="n">
        <f aca="false">IF(OR($C22="",12&lt;$D22,12&gt;$E22),0,$C22*(1+N($F22))^(12-$D22))</f>
        <v>0</v>
      </c>
      <c r="T22" s="33" t="n">
        <f aca="false">IF(OR($C22="",13&lt;$D22,13&gt;$E22),0,$C22*(1+N($F22))^(13-$D22))</f>
        <v>0</v>
      </c>
      <c r="U22" s="33" t="n">
        <f aca="false">IF(OR($C22="",14&lt;$D22,14&gt;$E22),0,$C22*(1+N($F22))^(14-$D22))</f>
        <v>0</v>
      </c>
      <c r="V22" s="33" t="n">
        <f aca="false">IF(OR($C22="",15&lt;$D22,15&gt;$E22),0,$C22*(1+N($F22))^(15-$D22))</f>
        <v>0</v>
      </c>
      <c r="W22" s="33" t="n">
        <f aca="false">IF(OR($C22="",16&lt;$D22,16&gt;$E22),0,$C22*(1+N($F22))^(16-$D22))</f>
        <v>0</v>
      </c>
      <c r="X22" s="33" t="n">
        <f aca="false">IF(OR($C22="",17&lt;$D22,17&gt;$E22),0,$C22*(1+N($F22))^(17-$D22))</f>
        <v>0</v>
      </c>
      <c r="Y22" s="33" t="n">
        <f aca="false">IF(OR($C22="",18&lt;$D22,18&gt;$E22),0,$C22*(1+N($F22))^(18-$D22))</f>
        <v>0</v>
      </c>
      <c r="Z22" s="33" t="n">
        <f aca="false">IF(OR($C22="",19&lt;$D22,19&gt;$E22),0,$C22*(1+N($F22))^(19-$D22))</f>
        <v>0</v>
      </c>
      <c r="AA22" s="33" t="n">
        <f aca="false">IF(OR($C22="",20&lt;$D22,20&gt;$E22),0,$C22*(1+N($F22))^(20-$D22))</f>
        <v>0</v>
      </c>
    </row>
    <row r="23" customFormat="false" ht="15" hidden="false" customHeight="false" outlineLevel="0" collapsed="false">
      <c r="A23" s="6"/>
      <c r="B23" s="6"/>
      <c r="C23" s="30"/>
      <c r="D23" s="31"/>
      <c r="E23" s="31"/>
      <c r="F23" s="32"/>
      <c r="G23" s="33" t="n">
        <f aca="false">IF(OR($C23="",0&lt;$D23,0&gt;$E23),0,$C23*(1+N($F23))^(0-$D23))</f>
        <v>0</v>
      </c>
      <c r="H23" s="33" t="n">
        <f aca="false">IF(OR($C23="",1&lt;$D23,1&gt;$E23),0,$C23*(1+N($F23))^(1-$D23))</f>
        <v>0</v>
      </c>
      <c r="I23" s="33" t="n">
        <f aca="false">IF(OR($C23="",2&lt;$D23,2&gt;$E23),0,$C23*(1+N($F23))^(2-$D23))</f>
        <v>0</v>
      </c>
      <c r="J23" s="33" t="n">
        <f aca="false">IF(OR($C23="",3&lt;$D23,3&gt;$E23),0,$C23*(1+N($F23))^(3-$D23))</f>
        <v>0</v>
      </c>
      <c r="K23" s="33" t="n">
        <f aca="false">IF(OR($C23="",4&lt;$D23,4&gt;$E23),0,$C23*(1+N($F23))^(4-$D23))</f>
        <v>0</v>
      </c>
      <c r="L23" s="33" t="n">
        <f aca="false">IF(OR($C23="",5&lt;$D23,5&gt;$E23),0,$C23*(1+N($F23))^(5-$D23))</f>
        <v>0</v>
      </c>
      <c r="M23" s="33" t="n">
        <f aca="false">IF(OR($C23="",6&lt;$D23,6&gt;$E23),0,$C23*(1+N($F23))^(6-$D23))</f>
        <v>0</v>
      </c>
      <c r="N23" s="33" t="n">
        <f aca="false">IF(OR($C23="",7&lt;$D23,7&gt;$E23),0,$C23*(1+N($F23))^(7-$D23))</f>
        <v>0</v>
      </c>
      <c r="O23" s="33" t="n">
        <f aca="false">IF(OR($C23="",8&lt;$D23,8&gt;$E23),0,$C23*(1+N($F23))^(8-$D23))</f>
        <v>0</v>
      </c>
      <c r="P23" s="33" t="n">
        <f aca="false">IF(OR($C23="",9&lt;$D23,9&gt;$E23),0,$C23*(1+N($F23))^(9-$D23))</f>
        <v>0</v>
      </c>
      <c r="Q23" s="33" t="n">
        <f aca="false">IF(OR($C23="",10&lt;$D23,10&gt;$E23),0,$C23*(1+N($F23))^(10-$D23))</f>
        <v>0</v>
      </c>
      <c r="R23" s="33" t="n">
        <f aca="false">IF(OR($C23="",11&lt;$D23,11&gt;$E23),0,$C23*(1+N($F23))^(11-$D23))</f>
        <v>0</v>
      </c>
      <c r="S23" s="33" t="n">
        <f aca="false">IF(OR($C23="",12&lt;$D23,12&gt;$E23),0,$C23*(1+N($F23))^(12-$D23))</f>
        <v>0</v>
      </c>
      <c r="T23" s="33" t="n">
        <f aca="false">IF(OR($C23="",13&lt;$D23,13&gt;$E23),0,$C23*(1+N($F23))^(13-$D23))</f>
        <v>0</v>
      </c>
      <c r="U23" s="33" t="n">
        <f aca="false">IF(OR($C23="",14&lt;$D23,14&gt;$E23),0,$C23*(1+N($F23))^(14-$D23))</f>
        <v>0</v>
      </c>
      <c r="V23" s="33" t="n">
        <f aca="false">IF(OR($C23="",15&lt;$D23,15&gt;$E23),0,$C23*(1+N($F23))^(15-$D23))</f>
        <v>0</v>
      </c>
      <c r="W23" s="33" t="n">
        <f aca="false">IF(OR($C23="",16&lt;$D23,16&gt;$E23),0,$C23*(1+N($F23))^(16-$D23))</f>
        <v>0</v>
      </c>
      <c r="X23" s="33" t="n">
        <f aca="false">IF(OR($C23="",17&lt;$D23,17&gt;$E23),0,$C23*(1+N($F23))^(17-$D23))</f>
        <v>0</v>
      </c>
      <c r="Y23" s="33" t="n">
        <f aca="false">IF(OR($C23="",18&lt;$D23,18&gt;$E23),0,$C23*(1+N($F23))^(18-$D23))</f>
        <v>0</v>
      </c>
      <c r="Z23" s="33" t="n">
        <f aca="false">IF(OR($C23="",19&lt;$D23,19&gt;$E23),0,$C23*(1+N($F23))^(19-$D23))</f>
        <v>0</v>
      </c>
      <c r="AA23" s="33" t="n">
        <f aca="false">IF(OR($C23="",20&lt;$D23,20&gt;$E23),0,$C23*(1+N($F23))^(20-$D23))</f>
        <v>0</v>
      </c>
    </row>
    <row r="24" customFormat="false" ht="15" hidden="false" customHeight="false" outlineLevel="0" collapsed="false">
      <c r="A24" s="6"/>
      <c r="B24" s="6"/>
      <c r="C24" s="30"/>
      <c r="D24" s="31"/>
      <c r="E24" s="31"/>
      <c r="F24" s="32"/>
      <c r="G24" s="33" t="n">
        <f aca="false">IF(OR($C24="",0&lt;$D24,0&gt;$E24),0,$C24*(1+N($F24))^(0-$D24))</f>
        <v>0</v>
      </c>
      <c r="H24" s="33" t="n">
        <f aca="false">IF(OR($C24="",1&lt;$D24,1&gt;$E24),0,$C24*(1+N($F24))^(1-$D24))</f>
        <v>0</v>
      </c>
      <c r="I24" s="33" t="n">
        <f aca="false">IF(OR($C24="",2&lt;$D24,2&gt;$E24),0,$C24*(1+N($F24))^(2-$D24))</f>
        <v>0</v>
      </c>
      <c r="J24" s="33" t="n">
        <f aca="false">IF(OR($C24="",3&lt;$D24,3&gt;$E24),0,$C24*(1+N($F24))^(3-$D24))</f>
        <v>0</v>
      </c>
      <c r="K24" s="33" t="n">
        <f aca="false">IF(OR($C24="",4&lt;$D24,4&gt;$E24),0,$C24*(1+N($F24))^(4-$D24))</f>
        <v>0</v>
      </c>
      <c r="L24" s="33" t="n">
        <f aca="false">IF(OR($C24="",5&lt;$D24,5&gt;$E24),0,$C24*(1+N($F24))^(5-$D24))</f>
        <v>0</v>
      </c>
      <c r="M24" s="33" t="n">
        <f aca="false">IF(OR($C24="",6&lt;$D24,6&gt;$E24),0,$C24*(1+N($F24))^(6-$D24))</f>
        <v>0</v>
      </c>
      <c r="N24" s="33" t="n">
        <f aca="false">IF(OR($C24="",7&lt;$D24,7&gt;$E24),0,$C24*(1+N($F24))^(7-$D24))</f>
        <v>0</v>
      </c>
      <c r="O24" s="33" t="n">
        <f aca="false">IF(OR($C24="",8&lt;$D24,8&gt;$E24),0,$C24*(1+N($F24))^(8-$D24))</f>
        <v>0</v>
      </c>
      <c r="P24" s="33" t="n">
        <f aca="false">IF(OR($C24="",9&lt;$D24,9&gt;$E24),0,$C24*(1+N($F24))^(9-$D24))</f>
        <v>0</v>
      </c>
      <c r="Q24" s="33" t="n">
        <f aca="false">IF(OR($C24="",10&lt;$D24,10&gt;$E24),0,$C24*(1+N($F24))^(10-$D24))</f>
        <v>0</v>
      </c>
      <c r="R24" s="33" t="n">
        <f aca="false">IF(OR($C24="",11&lt;$D24,11&gt;$E24),0,$C24*(1+N($F24))^(11-$D24))</f>
        <v>0</v>
      </c>
      <c r="S24" s="33" t="n">
        <f aca="false">IF(OR($C24="",12&lt;$D24,12&gt;$E24),0,$C24*(1+N($F24))^(12-$D24))</f>
        <v>0</v>
      </c>
      <c r="T24" s="33" t="n">
        <f aca="false">IF(OR($C24="",13&lt;$D24,13&gt;$E24),0,$C24*(1+N($F24))^(13-$D24))</f>
        <v>0</v>
      </c>
      <c r="U24" s="33" t="n">
        <f aca="false">IF(OR($C24="",14&lt;$D24,14&gt;$E24),0,$C24*(1+N($F24))^(14-$D24))</f>
        <v>0</v>
      </c>
      <c r="V24" s="33" t="n">
        <f aca="false">IF(OR($C24="",15&lt;$D24,15&gt;$E24),0,$C24*(1+N($F24))^(15-$D24))</f>
        <v>0</v>
      </c>
      <c r="W24" s="33" t="n">
        <f aca="false">IF(OR($C24="",16&lt;$D24,16&gt;$E24),0,$C24*(1+N($F24))^(16-$D24))</f>
        <v>0</v>
      </c>
      <c r="X24" s="33" t="n">
        <f aca="false">IF(OR($C24="",17&lt;$D24,17&gt;$E24),0,$C24*(1+N($F24))^(17-$D24))</f>
        <v>0</v>
      </c>
      <c r="Y24" s="33" t="n">
        <f aca="false">IF(OR($C24="",18&lt;$D24,18&gt;$E24),0,$C24*(1+N($F24))^(18-$D24))</f>
        <v>0</v>
      </c>
      <c r="Z24" s="33" t="n">
        <f aca="false">IF(OR($C24="",19&lt;$D24,19&gt;$E24),0,$C24*(1+N($F24))^(19-$D24))</f>
        <v>0</v>
      </c>
      <c r="AA24" s="33" t="n">
        <f aca="false">IF(OR($C24="",20&lt;$D24,20&gt;$E24),0,$C24*(1+N($F24))^(20-$D24))</f>
        <v>0</v>
      </c>
    </row>
    <row r="25" customFormat="false" ht="15" hidden="false" customHeight="false" outlineLevel="0" collapsed="false">
      <c r="A25" s="6"/>
      <c r="B25" s="6"/>
      <c r="C25" s="30"/>
      <c r="D25" s="31"/>
      <c r="E25" s="31"/>
      <c r="F25" s="32"/>
      <c r="G25" s="33" t="n">
        <f aca="false">IF(OR($C25="",0&lt;$D25,0&gt;$E25),0,$C25*(1+N($F25))^(0-$D25))</f>
        <v>0</v>
      </c>
      <c r="H25" s="33" t="n">
        <f aca="false">IF(OR($C25="",1&lt;$D25,1&gt;$E25),0,$C25*(1+N($F25))^(1-$D25))</f>
        <v>0</v>
      </c>
      <c r="I25" s="33" t="n">
        <f aca="false">IF(OR($C25="",2&lt;$D25,2&gt;$E25),0,$C25*(1+N($F25))^(2-$D25))</f>
        <v>0</v>
      </c>
      <c r="J25" s="33" t="n">
        <f aca="false">IF(OR($C25="",3&lt;$D25,3&gt;$E25),0,$C25*(1+N($F25))^(3-$D25))</f>
        <v>0</v>
      </c>
      <c r="K25" s="33" t="n">
        <f aca="false">IF(OR($C25="",4&lt;$D25,4&gt;$E25),0,$C25*(1+N($F25))^(4-$D25))</f>
        <v>0</v>
      </c>
      <c r="L25" s="33" t="n">
        <f aca="false">IF(OR($C25="",5&lt;$D25,5&gt;$E25),0,$C25*(1+N($F25))^(5-$D25))</f>
        <v>0</v>
      </c>
      <c r="M25" s="33" t="n">
        <f aca="false">IF(OR($C25="",6&lt;$D25,6&gt;$E25),0,$C25*(1+N($F25))^(6-$D25))</f>
        <v>0</v>
      </c>
      <c r="N25" s="33" t="n">
        <f aca="false">IF(OR($C25="",7&lt;$D25,7&gt;$E25),0,$C25*(1+N($F25))^(7-$D25))</f>
        <v>0</v>
      </c>
      <c r="O25" s="33" t="n">
        <f aca="false">IF(OR($C25="",8&lt;$D25,8&gt;$E25),0,$C25*(1+N($F25))^(8-$D25))</f>
        <v>0</v>
      </c>
      <c r="P25" s="33" t="n">
        <f aca="false">IF(OR($C25="",9&lt;$D25,9&gt;$E25),0,$C25*(1+N($F25))^(9-$D25))</f>
        <v>0</v>
      </c>
      <c r="Q25" s="33" t="n">
        <f aca="false">IF(OR($C25="",10&lt;$D25,10&gt;$E25),0,$C25*(1+N($F25))^(10-$D25))</f>
        <v>0</v>
      </c>
      <c r="R25" s="33" t="n">
        <f aca="false">IF(OR($C25="",11&lt;$D25,11&gt;$E25),0,$C25*(1+N($F25))^(11-$D25))</f>
        <v>0</v>
      </c>
      <c r="S25" s="33" t="n">
        <f aca="false">IF(OR($C25="",12&lt;$D25,12&gt;$E25),0,$C25*(1+N($F25))^(12-$D25))</f>
        <v>0</v>
      </c>
      <c r="T25" s="33" t="n">
        <f aca="false">IF(OR($C25="",13&lt;$D25,13&gt;$E25),0,$C25*(1+N($F25))^(13-$D25))</f>
        <v>0</v>
      </c>
      <c r="U25" s="33" t="n">
        <f aca="false">IF(OR($C25="",14&lt;$D25,14&gt;$E25),0,$C25*(1+N($F25))^(14-$D25))</f>
        <v>0</v>
      </c>
      <c r="V25" s="33" t="n">
        <f aca="false">IF(OR($C25="",15&lt;$D25,15&gt;$E25),0,$C25*(1+N($F25))^(15-$D25))</f>
        <v>0</v>
      </c>
      <c r="W25" s="33" t="n">
        <f aca="false">IF(OR($C25="",16&lt;$D25,16&gt;$E25),0,$C25*(1+N($F25))^(16-$D25))</f>
        <v>0</v>
      </c>
      <c r="X25" s="33" t="n">
        <f aca="false">IF(OR($C25="",17&lt;$D25,17&gt;$E25),0,$C25*(1+N($F25))^(17-$D25))</f>
        <v>0</v>
      </c>
      <c r="Y25" s="33" t="n">
        <f aca="false">IF(OR($C25="",18&lt;$D25,18&gt;$E25),0,$C25*(1+N($F25))^(18-$D25))</f>
        <v>0</v>
      </c>
      <c r="Z25" s="33" t="n">
        <f aca="false">IF(OR($C25="",19&lt;$D25,19&gt;$E25),0,$C25*(1+N($F25))^(19-$D25))</f>
        <v>0</v>
      </c>
      <c r="AA25" s="33" t="n">
        <f aca="false">IF(OR($C25="",20&lt;$D25,20&gt;$E25),0,$C25*(1+N($F25))^(20-$D25))</f>
        <v>0</v>
      </c>
    </row>
    <row r="26" customFormat="false" ht="15" hidden="false" customHeight="false" outlineLevel="0" collapsed="false">
      <c r="A26" s="6"/>
      <c r="B26" s="6"/>
      <c r="C26" s="30"/>
      <c r="D26" s="31"/>
      <c r="E26" s="31"/>
      <c r="F26" s="32"/>
      <c r="G26" s="33" t="n">
        <f aca="false">IF(OR($C26="",0&lt;$D26,0&gt;$E26),0,$C26*(1+N($F26))^(0-$D26))</f>
        <v>0</v>
      </c>
      <c r="H26" s="33" t="n">
        <f aca="false">IF(OR($C26="",1&lt;$D26,1&gt;$E26),0,$C26*(1+N($F26))^(1-$D26))</f>
        <v>0</v>
      </c>
      <c r="I26" s="33" t="n">
        <f aca="false">IF(OR($C26="",2&lt;$D26,2&gt;$E26),0,$C26*(1+N($F26))^(2-$D26))</f>
        <v>0</v>
      </c>
      <c r="J26" s="33" t="n">
        <f aca="false">IF(OR($C26="",3&lt;$D26,3&gt;$E26),0,$C26*(1+N($F26))^(3-$D26))</f>
        <v>0</v>
      </c>
      <c r="K26" s="33" t="n">
        <f aca="false">IF(OR($C26="",4&lt;$D26,4&gt;$E26),0,$C26*(1+N($F26))^(4-$D26))</f>
        <v>0</v>
      </c>
      <c r="L26" s="33" t="n">
        <f aca="false">IF(OR($C26="",5&lt;$D26,5&gt;$E26),0,$C26*(1+N($F26))^(5-$D26))</f>
        <v>0</v>
      </c>
      <c r="M26" s="33" t="n">
        <f aca="false">IF(OR($C26="",6&lt;$D26,6&gt;$E26),0,$C26*(1+N($F26))^(6-$D26))</f>
        <v>0</v>
      </c>
      <c r="N26" s="33" t="n">
        <f aca="false">IF(OR($C26="",7&lt;$D26,7&gt;$E26),0,$C26*(1+N($F26))^(7-$D26))</f>
        <v>0</v>
      </c>
      <c r="O26" s="33" t="n">
        <f aca="false">IF(OR($C26="",8&lt;$D26,8&gt;$E26),0,$C26*(1+N($F26))^(8-$D26))</f>
        <v>0</v>
      </c>
      <c r="P26" s="33" t="n">
        <f aca="false">IF(OR($C26="",9&lt;$D26,9&gt;$E26),0,$C26*(1+N($F26))^(9-$D26))</f>
        <v>0</v>
      </c>
      <c r="Q26" s="33" t="n">
        <f aca="false">IF(OR($C26="",10&lt;$D26,10&gt;$E26),0,$C26*(1+N($F26))^(10-$D26))</f>
        <v>0</v>
      </c>
      <c r="R26" s="33" t="n">
        <f aca="false">IF(OR($C26="",11&lt;$D26,11&gt;$E26),0,$C26*(1+N($F26))^(11-$D26))</f>
        <v>0</v>
      </c>
      <c r="S26" s="33" t="n">
        <f aca="false">IF(OR($C26="",12&lt;$D26,12&gt;$E26),0,$C26*(1+N($F26))^(12-$D26))</f>
        <v>0</v>
      </c>
      <c r="T26" s="33" t="n">
        <f aca="false">IF(OR($C26="",13&lt;$D26,13&gt;$E26),0,$C26*(1+N($F26))^(13-$D26))</f>
        <v>0</v>
      </c>
      <c r="U26" s="33" t="n">
        <f aca="false">IF(OR($C26="",14&lt;$D26,14&gt;$E26),0,$C26*(1+N($F26))^(14-$D26))</f>
        <v>0</v>
      </c>
      <c r="V26" s="33" t="n">
        <f aca="false">IF(OR($C26="",15&lt;$D26,15&gt;$E26),0,$C26*(1+N($F26))^(15-$D26))</f>
        <v>0</v>
      </c>
      <c r="W26" s="33" t="n">
        <f aca="false">IF(OR($C26="",16&lt;$D26,16&gt;$E26),0,$C26*(1+N($F26))^(16-$D26))</f>
        <v>0</v>
      </c>
      <c r="X26" s="33" t="n">
        <f aca="false">IF(OR($C26="",17&lt;$D26,17&gt;$E26),0,$C26*(1+N($F26))^(17-$D26))</f>
        <v>0</v>
      </c>
      <c r="Y26" s="33" t="n">
        <f aca="false">IF(OR($C26="",18&lt;$D26,18&gt;$E26),0,$C26*(1+N($F26))^(18-$D26))</f>
        <v>0</v>
      </c>
      <c r="Z26" s="33" t="n">
        <f aca="false">IF(OR($C26="",19&lt;$D26,19&gt;$E26),0,$C26*(1+N($F26))^(19-$D26))</f>
        <v>0</v>
      </c>
      <c r="AA26" s="33" t="n">
        <f aca="false">IF(OR($C26="",20&lt;$D26,20&gt;$E26),0,$C26*(1+N($F26))^(20-$D26))</f>
        <v>0</v>
      </c>
    </row>
    <row r="27" customFormat="false" ht="15" hidden="false" customHeight="false" outlineLevel="0" collapsed="false">
      <c r="A27" s="6"/>
      <c r="B27" s="6"/>
      <c r="C27" s="30"/>
      <c r="D27" s="31"/>
      <c r="E27" s="31"/>
      <c r="F27" s="32"/>
      <c r="G27" s="33" t="n">
        <f aca="false">IF(OR($C27="",0&lt;$D27,0&gt;$E27),0,$C27*(1+N($F27))^(0-$D27))</f>
        <v>0</v>
      </c>
      <c r="H27" s="33" t="n">
        <f aca="false">IF(OR($C27="",1&lt;$D27,1&gt;$E27),0,$C27*(1+N($F27))^(1-$D27))</f>
        <v>0</v>
      </c>
      <c r="I27" s="33" t="n">
        <f aca="false">IF(OR($C27="",2&lt;$D27,2&gt;$E27),0,$C27*(1+N($F27))^(2-$D27))</f>
        <v>0</v>
      </c>
      <c r="J27" s="33" t="n">
        <f aca="false">IF(OR($C27="",3&lt;$D27,3&gt;$E27),0,$C27*(1+N($F27))^(3-$D27))</f>
        <v>0</v>
      </c>
      <c r="K27" s="33" t="n">
        <f aca="false">IF(OR($C27="",4&lt;$D27,4&gt;$E27),0,$C27*(1+N($F27))^(4-$D27))</f>
        <v>0</v>
      </c>
      <c r="L27" s="33" t="n">
        <f aca="false">IF(OR($C27="",5&lt;$D27,5&gt;$E27),0,$C27*(1+N($F27))^(5-$D27))</f>
        <v>0</v>
      </c>
      <c r="M27" s="33" t="n">
        <f aca="false">IF(OR($C27="",6&lt;$D27,6&gt;$E27),0,$C27*(1+N($F27))^(6-$D27))</f>
        <v>0</v>
      </c>
      <c r="N27" s="33" t="n">
        <f aca="false">IF(OR($C27="",7&lt;$D27,7&gt;$E27),0,$C27*(1+N($F27))^(7-$D27))</f>
        <v>0</v>
      </c>
      <c r="O27" s="33" t="n">
        <f aca="false">IF(OR($C27="",8&lt;$D27,8&gt;$E27),0,$C27*(1+N($F27))^(8-$D27))</f>
        <v>0</v>
      </c>
      <c r="P27" s="33" t="n">
        <f aca="false">IF(OR($C27="",9&lt;$D27,9&gt;$E27),0,$C27*(1+N($F27))^(9-$D27))</f>
        <v>0</v>
      </c>
      <c r="Q27" s="33" t="n">
        <f aca="false">IF(OR($C27="",10&lt;$D27,10&gt;$E27),0,$C27*(1+N($F27))^(10-$D27))</f>
        <v>0</v>
      </c>
      <c r="R27" s="33" t="n">
        <f aca="false">IF(OR($C27="",11&lt;$D27,11&gt;$E27),0,$C27*(1+N($F27))^(11-$D27))</f>
        <v>0</v>
      </c>
      <c r="S27" s="33" t="n">
        <f aca="false">IF(OR($C27="",12&lt;$D27,12&gt;$E27),0,$C27*(1+N($F27))^(12-$D27))</f>
        <v>0</v>
      </c>
      <c r="T27" s="33" t="n">
        <f aca="false">IF(OR($C27="",13&lt;$D27,13&gt;$E27),0,$C27*(1+N($F27))^(13-$D27))</f>
        <v>0</v>
      </c>
      <c r="U27" s="33" t="n">
        <f aca="false">IF(OR($C27="",14&lt;$D27,14&gt;$E27),0,$C27*(1+N($F27))^(14-$D27))</f>
        <v>0</v>
      </c>
      <c r="V27" s="33" t="n">
        <f aca="false">IF(OR($C27="",15&lt;$D27,15&gt;$E27),0,$C27*(1+N($F27))^(15-$D27))</f>
        <v>0</v>
      </c>
      <c r="W27" s="33" t="n">
        <f aca="false">IF(OR($C27="",16&lt;$D27,16&gt;$E27),0,$C27*(1+N($F27))^(16-$D27))</f>
        <v>0</v>
      </c>
      <c r="X27" s="33" t="n">
        <f aca="false">IF(OR($C27="",17&lt;$D27,17&gt;$E27),0,$C27*(1+N($F27))^(17-$D27))</f>
        <v>0</v>
      </c>
      <c r="Y27" s="33" t="n">
        <f aca="false">IF(OR($C27="",18&lt;$D27,18&gt;$E27),0,$C27*(1+N($F27))^(18-$D27))</f>
        <v>0</v>
      </c>
      <c r="Z27" s="33" t="n">
        <f aca="false">IF(OR($C27="",19&lt;$D27,19&gt;$E27),0,$C27*(1+N($F27))^(19-$D27))</f>
        <v>0</v>
      </c>
      <c r="AA27" s="33" t="n">
        <f aca="false">IF(OR($C27="",20&lt;$D27,20&gt;$E27),0,$C27*(1+N($F27))^(20-$D27))</f>
        <v>0</v>
      </c>
    </row>
    <row r="28" customFormat="false" ht="15" hidden="false" customHeight="false" outlineLevel="0" collapsed="false">
      <c r="A28" s="34" t="s">
        <v>104</v>
      </c>
      <c r="G28" s="35" t="n">
        <f aca="false">SUM(G8:G27)</f>
        <v>0</v>
      </c>
      <c r="H28" s="35" t="n">
        <f aca="false">SUM(H8:H27)</f>
        <v>85000</v>
      </c>
      <c r="I28" s="35" t="n">
        <f aca="false">SUM(I8:I27)</f>
        <v>246800</v>
      </c>
      <c r="J28" s="35" t="n">
        <f aca="false">SUM(J8:J27)</f>
        <v>251854</v>
      </c>
      <c r="K28" s="35" t="n">
        <f aca="false">SUM(K8:K27)</f>
        <v>257027.62</v>
      </c>
      <c r="L28" s="35" t="n">
        <f aca="false">SUM(L8:L27)</f>
        <v>262323.8086</v>
      </c>
      <c r="M28" s="35" t="n">
        <f aca="false">SUM(M8:M27)</f>
        <v>267745.590058</v>
      </c>
      <c r="N28" s="35" t="n">
        <f aca="false">SUM(N8:N27)</f>
        <v>273296.06630374</v>
      </c>
      <c r="O28" s="35" t="n">
        <f aca="false">SUM(O8:O27)</f>
        <v>278978.419007732</v>
      </c>
      <c r="P28" s="35" t="n">
        <f aca="false">SUM(P8:P27)</f>
        <v>284795.911707142</v>
      </c>
      <c r="Q28" s="35" t="n">
        <f aca="false">SUM(Q8:Q27)</f>
        <v>290751.891990117</v>
      </c>
      <c r="R28" s="35" t="n">
        <f aca="false">SUM(R8:R27)</f>
        <v>296849.793740217</v>
      </c>
      <c r="S28" s="35" t="n">
        <f aca="false">SUM(S8:S27)</f>
        <v>303093.139442628</v>
      </c>
      <c r="T28" s="35" t="n">
        <f aca="false">SUM(T8:T27)</f>
        <v>309485.542553915</v>
      </c>
      <c r="U28" s="35" t="n">
        <f aca="false">SUM(U8:U27)</f>
        <v>316030.709937101</v>
      </c>
      <c r="V28" s="35" t="n">
        <f aca="false">SUM(V8:V27)</f>
        <v>322732.444363914</v>
      </c>
      <c r="W28" s="35" t="n">
        <f aca="false">SUM(W8:W27)</f>
        <v>0</v>
      </c>
      <c r="X28" s="35" t="n">
        <f aca="false">SUM(X8:X27)</f>
        <v>0</v>
      </c>
      <c r="Y28" s="35" t="n">
        <f aca="false">SUM(Y8:Y27)</f>
        <v>0</v>
      </c>
      <c r="Z28" s="35" t="n">
        <f aca="false">SUM(Z8:Z27)</f>
        <v>0</v>
      </c>
      <c r="AA28" s="35" t="n">
        <f aca="false">SUM(AA8:AA27)</f>
        <v>0</v>
      </c>
    </row>
    <row r="30" customFormat="false" ht="15" hidden="false" customHeight="false" outlineLevel="0" collapsed="false">
      <c r="A30" s="43" t="s">
        <v>105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</row>
    <row r="31" customFormat="false" ht="15" hidden="false" customHeight="false" outlineLevel="0" collapsed="false">
      <c r="A31" s="6" t="s">
        <v>118</v>
      </c>
      <c r="B31" s="6" t="s">
        <v>68</v>
      </c>
      <c r="C31" s="36"/>
      <c r="D31" s="36"/>
      <c r="E31" s="36"/>
      <c r="F31" s="36"/>
      <c r="G31" s="30"/>
      <c r="H31" s="30"/>
      <c r="I31" s="30"/>
      <c r="J31" s="30"/>
      <c r="K31" s="30"/>
      <c r="L31" s="30"/>
      <c r="M31" s="30"/>
      <c r="N31" s="30"/>
      <c r="O31" s="30"/>
      <c r="P31" s="30" t="n">
        <v>8000</v>
      </c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</row>
    <row r="32" customFormat="false" ht="15" hidden="false" customHeight="false" outlineLevel="0" collapsed="false">
      <c r="A32" s="6"/>
      <c r="B32" s="6"/>
      <c r="C32" s="36"/>
      <c r="D32" s="36"/>
      <c r="E32" s="36"/>
      <c r="F32" s="3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</row>
    <row r="33" customFormat="false" ht="15" hidden="false" customHeight="false" outlineLevel="0" collapsed="false">
      <c r="A33" s="6"/>
      <c r="B33" s="6"/>
      <c r="C33" s="36"/>
      <c r="D33" s="36"/>
      <c r="E33" s="36"/>
      <c r="F33" s="3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</row>
    <row r="34" customFormat="false" ht="15" hidden="false" customHeight="false" outlineLevel="0" collapsed="false">
      <c r="A34" s="6"/>
      <c r="B34" s="6"/>
      <c r="C34" s="36"/>
      <c r="D34" s="36"/>
      <c r="E34" s="36"/>
      <c r="F34" s="36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</row>
    <row r="35" customFormat="false" ht="15" hidden="false" customHeight="false" outlineLevel="0" collapsed="false">
      <c r="A35" s="6"/>
      <c r="B35" s="6"/>
      <c r="C35" s="36"/>
      <c r="D35" s="36"/>
      <c r="E35" s="36"/>
      <c r="F35" s="36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</row>
    <row r="36" customFormat="false" ht="15" hidden="false" customHeight="false" outlineLevel="0" collapsed="false">
      <c r="A36" s="6"/>
      <c r="B36" s="6"/>
      <c r="C36" s="36"/>
      <c r="D36" s="36"/>
      <c r="E36" s="36"/>
      <c r="F36" s="36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</row>
    <row r="37" customFormat="false" ht="15" hidden="false" customHeight="false" outlineLevel="0" collapsed="false">
      <c r="A37" s="6"/>
      <c r="B37" s="6"/>
      <c r="C37" s="36"/>
      <c r="D37" s="36"/>
      <c r="E37" s="36"/>
      <c r="F37" s="36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</row>
    <row r="38" customFormat="false" ht="15" hidden="false" customHeight="false" outlineLevel="0" collapsed="false">
      <c r="A38" s="6"/>
      <c r="B38" s="6"/>
      <c r="C38" s="36"/>
      <c r="D38" s="36"/>
      <c r="E38" s="36"/>
      <c r="F38" s="36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</row>
    <row r="39" customFormat="false" ht="15" hidden="false" customHeight="false" outlineLevel="0" collapsed="false">
      <c r="A39" s="6"/>
      <c r="B39" s="6"/>
      <c r="C39" s="36"/>
      <c r="D39" s="36"/>
      <c r="E39" s="36"/>
      <c r="F39" s="36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</row>
    <row r="40" customFormat="false" ht="15" hidden="false" customHeight="false" outlineLevel="0" collapsed="false">
      <c r="A40" s="6"/>
      <c r="B40" s="6"/>
      <c r="C40" s="36"/>
      <c r="D40" s="36"/>
      <c r="E40" s="36"/>
      <c r="F40" s="36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</row>
    <row r="41" customFormat="false" ht="15" hidden="false" customHeight="false" outlineLevel="0" collapsed="false">
      <c r="A41" s="6"/>
      <c r="B41" s="6"/>
      <c r="C41" s="36"/>
      <c r="D41" s="36"/>
      <c r="E41" s="36"/>
      <c r="F41" s="36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</row>
    <row r="42" customFormat="false" ht="15" hidden="false" customHeight="false" outlineLevel="0" collapsed="false">
      <c r="A42" s="6"/>
      <c r="B42" s="6"/>
      <c r="C42" s="36"/>
      <c r="D42" s="36"/>
      <c r="E42" s="36"/>
      <c r="F42" s="36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</row>
    <row r="43" customFormat="false" ht="15" hidden="false" customHeight="false" outlineLevel="0" collapsed="false">
      <c r="A43" s="6"/>
      <c r="B43" s="6"/>
      <c r="C43" s="36"/>
      <c r="D43" s="36"/>
      <c r="E43" s="36"/>
      <c r="F43" s="36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</row>
    <row r="44" customFormat="false" ht="15" hidden="false" customHeight="false" outlineLevel="0" collapsed="false">
      <c r="A44" s="6"/>
      <c r="B44" s="6"/>
      <c r="C44" s="36"/>
      <c r="D44" s="36"/>
      <c r="E44" s="36"/>
      <c r="F44" s="36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</row>
    <row r="45" customFormat="false" ht="15" hidden="false" customHeight="false" outlineLevel="0" collapsed="false">
      <c r="A45" s="6"/>
      <c r="B45" s="6"/>
      <c r="C45" s="36"/>
      <c r="D45" s="36"/>
      <c r="E45" s="36"/>
      <c r="F45" s="36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</row>
    <row r="46" customFormat="false" ht="15" hidden="false" customHeight="false" outlineLevel="0" collapsed="false">
      <c r="A46" s="34" t="s">
        <v>110</v>
      </c>
      <c r="G46" s="35" t="n">
        <f aca="false">SUM(G31:G45)</f>
        <v>0</v>
      </c>
      <c r="H46" s="35" t="n">
        <f aca="false">SUM(H31:H45)</f>
        <v>0</v>
      </c>
      <c r="I46" s="35" t="n">
        <f aca="false">SUM(I31:I45)</f>
        <v>0</v>
      </c>
      <c r="J46" s="35" t="n">
        <f aca="false">SUM(J31:J45)</f>
        <v>0</v>
      </c>
      <c r="K46" s="35" t="n">
        <f aca="false">SUM(K31:K45)</f>
        <v>0</v>
      </c>
      <c r="L46" s="35" t="n">
        <f aca="false">SUM(L31:L45)</f>
        <v>0</v>
      </c>
      <c r="M46" s="35" t="n">
        <f aca="false">SUM(M31:M45)</f>
        <v>0</v>
      </c>
      <c r="N46" s="35" t="n">
        <f aca="false">SUM(N31:N45)</f>
        <v>0</v>
      </c>
      <c r="O46" s="35" t="n">
        <f aca="false">SUM(O31:O45)</f>
        <v>0</v>
      </c>
      <c r="P46" s="35" t="n">
        <f aca="false">SUM(P31:P45)</f>
        <v>8000</v>
      </c>
      <c r="Q46" s="35" t="n">
        <f aca="false">SUM(Q31:Q45)</f>
        <v>0</v>
      </c>
      <c r="R46" s="35" t="n">
        <f aca="false">SUM(R31:R45)</f>
        <v>0</v>
      </c>
      <c r="S46" s="35" t="n">
        <f aca="false">SUM(S31:S45)</f>
        <v>0</v>
      </c>
      <c r="T46" s="35" t="n">
        <f aca="false">SUM(T31:T45)</f>
        <v>0</v>
      </c>
      <c r="U46" s="35" t="n">
        <f aca="false">SUM(U31:U45)</f>
        <v>0</v>
      </c>
      <c r="V46" s="35" t="n">
        <f aca="false">SUM(V31:V45)</f>
        <v>0</v>
      </c>
      <c r="W46" s="35" t="n">
        <f aca="false">SUM(W31:W45)</f>
        <v>0</v>
      </c>
      <c r="X46" s="35" t="n">
        <f aca="false">SUM(X31:X45)</f>
        <v>0</v>
      </c>
      <c r="Y46" s="35" t="n">
        <f aca="false">SUM(Y31:Y45)</f>
        <v>0</v>
      </c>
      <c r="Z46" s="35" t="n">
        <f aca="false">SUM(Z31:Z45)</f>
        <v>0</v>
      </c>
      <c r="AA46" s="35" t="n">
        <f aca="false">SUM(AA31:AA45)</f>
        <v>0</v>
      </c>
    </row>
    <row r="48" customFormat="false" ht="15" hidden="false" customHeight="false" outlineLevel="0" collapsed="false">
      <c r="A48" s="44" t="s">
        <v>119</v>
      </c>
      <c r="B48" s="45"/>
      <c r="C48" s="45"/>
      <c r="D48" s="45"/>
      <c r="E48" s="45"/>
      <c r="F48" s="46" t="n">
        <f aca="false">SUM(G48:AA48)</f>
        <v>4054764.93770451</v>
      </c>
      <c r="G48" s="40" t="n">
        <f aca="false">G28+G46</f>
        <v>0</v>
      </c>
      <c r="H48" s="40" t="n">
        <f aca="false">H28+H46</f>
        <v>85000</v>
      </c>
      <c r="I48" s="40" t="n">
        <f aca="false">I28+I46</f>
        <v>246800</v>
      </c>
      <c r="J48" s="40" t="n">
        <f aca="false">J28+J46</f>
        <v>251854</v>
      </c>
      <c r="K48" s="40" t="n">
        <f aca="false">K28+K46</f>
        <v>257027.62</v>
      </c>
      <c r="L48" s="40" t="n">
        <f aca="false">L28+L46</f>
        <v>262323.8086</v>
      </c>
      <c r="M48" s="40" t="n">
        <f aca="false">M28+M46</f>
        <v>267745.590058</v>
      </c>
      <c r="N48" s="40" t="n">
        <f aca="false">N28+N46</f>
        <v>273296.06630374</v>
      </c>
      <c r="O48" s="40" t="n">
        <f aca="false">O28+O46</f>
        <v>278978.419007732</v>
      </c>
      <c r="P48" s="40" t="n">
        <f aca="false">P28+P46</f>
        <v>292795.911707142</v>
      </c>
      <c r="Q48" s="40" t="n">
        <f aca="false">Q28+Q46</f>
        <v>290751.891990117</v>
      </c>
      <c r="R48" s="40" t="n">
        <f aca="false">R28+R46</f>
        <v>296849.793740217</v>
      </c>
      <c r="S48" s="40" t="n">
        <f aca="false">S28+S46</f>
        <v>303093.139442628</v>
      </c>
      <c r="T48" s="40" t="n">
        <f aca="false">T28+T46</f>
        <v>309485.542553915</v>
      </c>
      <c r="U48" s="40" t="n">
        <f aca="false">U28+U46</f>
        <v>316030.709937101</v>
      </c>
      <c r="V48" s="40" t="n">
        <f aca="false">V28+V46</f>
        <v>322732.444363914</v>
      </c>
      <c r="W48" s="40" t="n">
        <f aca="false">W28+W46</f>
        <v>0</v>
      </c>
      <c r="X48" s="40" t="n">
        <f aca="false">X28+X46</f>
        <v>0</v>
      </c>
      <c r="Y48" s="40" t="n">
        <f aca="false">Y28+Y46</f>
        <v>0</v>
      </c>
      <c r="Z48" s="40" t="n">
        <f aca="false">Z28+Z46</f>
        <v>0</v>
      </c>
      <c r="AA48" s="40" t="n">
        <f aca="false">AA28+AA46</f>
        <v>0</v>
      </c>
    </row>
    <row r="50" customFormat="false" ht="15" hidden="false" customHeight="false" outlineLevel="0" collapsed="false">
      <c r="A50" s="47" t="s">
        <v>120</v>
      </c>
    </row>
    <row r="51" customFormat="false" ht="15" hidden="false" customHeight="false" outlineLevel="0" collapsed="false">
      <c r="A51" s="8" t="str">
        <f aca="false">IF(Inputs!$B$19="","",Inputs!$B$19)</f>
        <v>Revenue / income</v>
      </c>
      <c r="B51" s="33" t="n">
        <f aca="false">IF(A51="","",SUMPRODUCT(($B$8:$B$27=A51)*$G$8:$AA$27*(COLUMN($G$8:$AA$27)-COLUMN($G$8)&lt;=Period))+SUMPRODUCT(($B$31:$B$45=A51)*$G$31:$AA$45*(COLUMN($G$31:$AA$45)-COLUMN($G$31)&lt;=Period)))</f>
        <v>1115934.83320153</v>
      </c>
    </row>
    <row r="52" customFormat="false" ht="15" hidden="false" customHeight="false" outlineLevel="0" collapsed="false">
      <c r="A52" s="8" t="str">
        <f aca="false">IF(Inputs!$B$20="","",Inputs!$B$20)</f>
        <v>Cost savings</v>
      </c>
      <c r="B52" s="33" t="n">
        <f aca="false">IF(A52="","",SUMPRODUCT(($B$8:$B$27=A52)*$G$8:$AA$27*(COLUMN($G$8:$AA$27)-COLUMN($G$8)&lt;=Period))+SUMPRODUCT(($B$31:$B$45=A52)*$G$31:$AA$45*(COLUMN($G$31:$AA$45)-COLUMN($G$31)&lt;=Period)))</f>
        <v>375000</v>
      </c>
    </row>
    <row r="53" customFormat="false" ht="15" hidden="false" customHeight="false" outlineLevel="0" collapsed="false">
      <c r="A53" s="8" t="str">
        <f aca="false">IF(Inputs!$B$21="","",Inputs!$B$21)</f>
        <v>Time savings</v>
      </c>
      <c r="B53" s="33" t="n">
        <f aca="false">IF(A53="","",SUMPRODUCT(($B$8:$B$27=A53)*$G$8:$AA$27*(COLUMN($G$8:$AA$27)-COLUMN($G$8)&lt;=Period))+SUMPRODUCT(($B$31:$B$45=A53)*$G$31:$AA$45*(COLUMN($G$31:$AA$45)-COLUMN($G$31)&lt;=Period)))</f>
        <v>1437654.43378293</v>
      </c>
    </row>
    <row r="54" customFormat="false" ht="15" hidden="false" customHeight="false" outlineLevel="0" collapsed="false">
      <c r="A54" s="8" t="str">
        <f aca="false">IF(Inputs!$B$22="","",Inputs!$B$22)</f>
        <v>Health benefits</v>
      </c>
      <c r="B54" s="33" t="n">
        <f aca="false">IF(A54="","",SUMPRODUCT(($B$8:$B$27=A54)*$G$8:$AA$27*(COLUMN($G$8:$AA$27)-COLUMN($G$8)&lt;=Period))+SUMPRODUCT(($B$31:$B$45=A54)*$G$31:$AA$45*(COLUMN($G$31:$AA$45)-COLUMN($G$31)&lt;=Period)))</f>
        <v>1118175.67072005</v>
      </c>
    </row>
    <row r="55" customFormat="false" ht="15" hidden="false" customHeight="false" outlineLevel="0" collapsed="false">
      <c r="A55" s="8" t="str">
        <f aca="false">IF(Inputs!$B$23="","",Inputs!$B$23)</f>
        <v>Environmental benefits</v>
      </c>
      <c r="B55" s="33" t="n">
        <f aca="false">IF(A55="","",SUMPRODUCT(($B$8:$B$27=A55)*$G$8:$AA$27*(COLUMN($G$8:$AA$27)-COLUMN($G$8)&lt;=Period))+SUMPRODUCT(($B$31:$B$45=A55)*$G$31:$AA$45*(COLUMN($G$31:$AA$45)-COLUMN($G$31)&lt;=Period)))</f>
        <v>0</v>
      </c>
    </row>
    <row r="56" customFormat="false" ht="15" hidden="false" customHeight="false" outlineLevel="0" collapsed="false">
      <c r="A56" s="8" t="str">
        <f aca="false">IF(Inputs!$B$24="","",Inputs!$B$24)</f>
        <v>Other</v>
      </c>
      <c r="B56" s="33" t="n">
        <f aca="false">IF(A56="","",SUMPRODUCT(($B$8:$B$27=A56)*$G$8:$AA$27*(COLUMN($G$8:$AA$27)-COLUMN($G$8)&lt;=Period))+SUMPRODUCT(($B$31:$B$45=A56)*$G$31:$AA$45*(COLUMN($G$31:$AA$45)-COLUMN($G$31)&lt;=Period)))</f>
        <v>8000</v>
      </c>
    </row>
    <row r="57" customFormat="false" ht="15" hidden="false" customHeight="false" outlineLevel="0" collapsed="false">
      <c r="A57" s="8" t="str">
        <f aca="false">IF(Inputs!$B$25="","",Inputs!$B$25)</f>
        <v/>
      </c>
      <c r="B57" s="33" t="str">
        <f aca="false">IF(A57="","",SUMPRODUCT(($B$8:$B$27=A57)*$G$8:$AA$27*(COLUMN($G$8:$AA$27)-COLUMN($G$8)&lt;=Period))+SUMPRODUCT(($B$31:$B$45=A57)*$G$31:$AA$45*(COLUMN($G$31:$AA$45)-COLUMN($G$31)&lt;=Period)))</f>
        <v/>
      </c>
    </row>
    <row r="58" customFormat="false" ht="15" hidden="false" customHeight="false" outlineLevel="0" collapsed="false">
      <c r="A58" s="8" t="str">
        <f aca="false">IF(Inputs!$B$26="","",Inputs!$B$26)</f>
        <v/>
      </c>
      <c r="B58" s="33" t="str">
        <f aca="false">IF(A58="","",SUMPRODUCT(($B$8:$B$27=A58)*$G$8:$AA$27*(COLUMN($G$8:$AA$27)-COLUMN($G$8)&lt;=Period))+SUMPRODUCT(($B$31:$B$45=A58)*$G$31:$AA$45*(COLUMN($G$31:$AA$45)-COLUMN($G$31)&lt;=Period)))</f>
        <v/>
      </c>
    </row>
  </sheetData>
  <dataValidations count="2">
    <dataValidation allowBlank="false" error="Year must be between 0 and 20." errorStyle="stop" operator="between" showDropDown="false" showErrorMessage="false" showInputMessage="false" sqref="D8:E27" type="whole">
      <formula1>0</formula1>
      <formula2>20</formula2>
    </dataValidation>
    <dataValidation allowBlank="true" errorStyle="stop" operator="between" showDropDown="false" showErrorMessage="false" showInputMessage="false" sqref="B8:B27 B31:B45" type="list">
      <formula1>L_BCat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AA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6" ySplit="6" topLeftCell="G7" activePane="bottomRight" state="frozen"/>
      <selection pane="topLeft" activeCell="A1" activeCellId="0" sqref="A1"/>
      <selection pane="topRight" activeCell="G1" activeCellId="0" sqref="G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6" min="2" style="0" width="3"/>
    <col collapsed="false" customWidth="true" hidden="false" outlineLevel="0" max="27" min="7" style="0" width="10"/>
  </cols>
  <sheetData>
    <row r="1" customFormat="false" ht="17.35" hidden="false" customHeight="false" outlineLevel="0" collapsed="false">
      <c r="A1" s="11" t="s">
        <v>121</v>
      </c>
    </row>
    <row r="2" customFormat="false" ht="15" hidden="false" customHeight="false" outlineLevel="0" collapsed="false">
      <c r="A2" s="2" t="str">
        <f aca="false">ProjName&amp;"   |   "&amp;Currency&amp;", constant prices   |   Discount rate: "&amp;TEXT(Rate,"0.0%")&amp;"   |   Period: "&amp;Period&amp;" years"</f>
        <v>[Community Water Supply Scheme – Option A]   |   GHS, constant prices   |   Discount rate: 10.0%   |   Period: 15 years</v>
      </c>
    </row>
    <row r="5" customFormat="false" ht="15" hidden="false" customHeight="false" outlineLevel="0" collapsed="false">
      <c r="A5" s="48" t="s">
        <v>122</v>
      </c>
      <c r="G5" s="49" t="n">
        <v>0</v>
      </c>
      <c r="H5" s="49" t="n">
        <v>1</v>
      </c>
      <c r="I5" s="49" t="n">
        <v>2</v>
      </c>
      <c r="J5" s="49" t="n">
        <v>3</v>
      </c>
      <c r="K5" s="49" t="n">
        <v>4</v>
      </c>
      <c r="L5" s="49" t="n">
        <v>5</v>
      </c>
      <c r="M5" s="49" t="n">
        <v>6</v>
      </c>
      <c r="N5" s="49" t="n">
        <v>7</v>
      </c>
      <c r="O5" s="49" t="n">
        <v>8</v>
      </c>
      <c r="P5" s="49" t="n">
        <v>9</v>
      </c>
      <c r="Q5" s="49" t="n">
        <v>10</v>
      </c>
      <c r="R5" s="49" t="n">
        <v>11</v>
      </c>
      <c r="S5" s="49" t="n">
        <v>12</v>
      </c>
      <c r="T5" s="49" t="n">
        <v>13</v>
      </c>
      <c r="U5" s="49" t="n">
        <v>14</v>
      </c>
      <c r="V5" s="49" t="n">
        <v>15</v>
      </c>
      <c r="W5" s="49" t="n">
        <v>16</v>
      </c>
      <c r="X5" s="49" t="n">
        <v>17</v>
      </c>
      <c r="Y5" s="49" t="n">
        <v>18</v>
      </c>
      <c r="Z5" s="49" t="n">
        <v>19</v>
      </c>
      <c r="AA5" s="49" t="n">
        <v>20</v>
      </c>
    </row>
    <row r="6" customFormat="false" ht="15" hidden="false" customHeight="false" outlineLevel="0" collapsed="false">
      <c r="A6" s="7" t="s">
        <v>123</v>
      </c>
      <c r="G6" s="27" t="n">
        <f aca="false">Year0+G5</f>
        <v>2027</v>
      </c>
      <c r="H6" s="27" t="n">
        <f aca="false">Year0+H5</f>
        <v>2028</v>
      </c>
      <c r="I6" s="27" t="n">
        <f aca="false">Year0+I5</f>
        <v>2029</v>
      </c>
      <c r="J6" s="27" t="n">
        <f aca="false">Year0+J5</f>
        <v>2030</v>
      </c>
      <c r="K6" s="27" t="n">
        <f aca="false">Year0+K5</f>
        <v>2031</v>
      </c>
      <c r="L6" s="27" t="n">
        <f aca="false">Year0+L5</f>
        <v>2032</v>
      </c>
      <c r="M6" s="27" t="n">
        <f aca="false">Year0+M5</f>
        <v>2033</v>
      </c>
      <c r="N6" s="27" t="n">
        <f aca="false">Year0+N5</f>
        <v>2034</v>
      </c>
      <c r="O6" s="27" t="n">
        <f aca="false">Year0+O5</f>
        <v>2035</v>
      </c>
      <c r="P6" s="27" t="n">
        <f aca="false">Year0+P5</f>
        <v>2036</v>
      </c>
      <c r="Q6" s="27" t="n">
        <f aca="false">Year0+Q5</f>
        <v>2037</v>
      </c>
      <c r="R6" s="27" t="n">
        <f aca="false">Year0+R5</f>
        <v>2038</v>
      </c>
      <c r="S6" s="27" t="n">
        <f aca="false">Year0+S5</f>
        <v>2039</v>
      </c>
      <c r="T6" s="27" t="n">
        <f aca="false">Year0+T5</f>
        <v>2040</v>
      </c>
      <c r="U6" s="27" t="n">
        <f aca="false">Year0+U5</f>
        <v>2041</v>
      </c>
      <c r="V6" s="27" t="n">
        <f aca="false">Year0+V5</f>
        <v>2042</v>
      </c>
      <c r="W6" s="27" t="n">
        <f aca="false">Year0+W5</f>
        <v>2043</v>
      </c>
      <c r="X6" s="27" t="n">
        <f aca="false">Year0+X5</f>
        <v>2044</v>
      </c>
      <c r="Y6" s="27" t="n">
        <f aca="false">Year0+Y5</f>
        <v>2045</v>
      </c>
      <c r="Z6" s="27" t="n">
        <f aca="false">Year0+Z5</f>
        <v>2046</v>
      </c>
      <c r="AA6" s="27" t="n">
        <f aca="false">Year0+AA5</f>
        <v>2047</v>
      </c>
    </row>
    <row r="7" customFormat="false" ht="15" hidden="false" customHeight="false" outlineLevel="0" collapsed="false">
      <c r="A7" s="7" t="s">
        <v>124</v>
      </c>
      <c r="G7" s="50" t="n">
        <f aca="false">IF(G5&lt;=Period,1,0)</f>
        <v>1</v>
      </c>
      <c r="H7" s="50" t="n">
        <f aca="false">IF(H5&lt;=Period,1,0)</f>
        <v>1</v>
      </c>
      <c r="I7" s="50" t="n">
        <f aca="false">IF(I5&lt;=Period,1,0)</f>
        <v>1</v>
      </c>
      <c r="J7" s="50" t="n">
        <f aca="false">IF(J5&lt;=Period,1,0)</f>
        <v>1</v>
      </c>
      <c r="K7" s="50" t="n">
        <f aca="false">IF(K5&lt;=Period,1,0)</f>
        <v>1</v>
      </c>
      <c r="L7" s="50" t="n">
        <f aca="false">IF(L5&lt;=Period,1,0)</f>
        <v>1</v>
      </c>
      <c r="M7" s="50" t="n">
        <f aca="false">IF(M5&lt;=Period,1,0)</f>
        <v>1</v>
      </c>
      <c r="N7" s="50" t="n">
        <f aca="false">IF(N5&lt;=Period,1,0)</f>
        <v>1</v>
      </c>
      <c r="O7" s="50" t="n">
        <f aca="false">IF(O5&lt;=Period,1,0)</f>
        <v>1</v>
      </c>
      <c r="P7" s="50" t="n">
        <f aca="false">IF(P5&lt;=Period,1,0)</f>
        <v>1</v>
      </c>
      <c r="Q7" s="50" t="n">
        <f aca="false">IF(Q5&lt;=Period,1,0)</f>
        <v>1</v>
      </c>
      <c r="R7" s="50" t="n">
        <f aca="false">IF(R5&lt;=Period,1,0)</f>
        <v>1</v>
      </c>
      <c r="S7" s="50" t="n">
        <f aca="false">IF(S5&lt;=Period,1,0)</f>
        <v>1</v>
      </c>
      <c r="T7" s="50" t="n">
        <f aca="false">IF(T5&lt;=Period,1,0)</f>
        <v>1</v>
      </c>
      <c r="U7" s="50" t="n">
        <f aca="false">IF(U5&lt;=Period,1,0)</f>
        <v>1</v>
      </c>
      <c r="V7" s="50" t="n">
        <f aca="false">IF(V5&lt;=Period,1,0)</f>
        <v>1</v>
      </c>
      <c r="W7" s="50" t="n">
        <f aca="false">IF(W5&lt;=Period,1,0)</f>
        <v>0</v>
      </c>
      <c r="X7" s="50" t="n">
        <f aca="false">IF(X5&lt;=Period,1,0)</f>
        <v>0</v>
      </c>
      <c r="Y7" s="50" t="n">
        <f aca="false">IF(Y5&lt;=Period,1,0)</f>
        <v>0</v>
      </c>
      <c r="Z7" s="50" t="n">
        <f aca="false">IF(Z5&lt;=Period,1,0)</f>
        <v>0</v>
      </c>
      <c r="AA7" s="50" t="n">
        <f aca="false">IF(AA5&lt;=Period,1,0)</f>
        <v>0</v>
      </c>
    </row>
    <row r="9" customFormat="false" ht="15" hidden="false" customHeight="false" outlineLevel="0" collapsed="false">
      <c r="A9" s="7" t="s">
        <v>125</v>
      </c>
      <c r="G9" s="51" t="n">
        <f aca="false">Benefits!G48*G7</f>
        <v>0</v>
      </c>
      <c r="H9" s="51" t="n">
        <f aca="false">Benefits!H48*H7</f>
        <v>85000</v>
      </c>
      <c r="I9" s="51" t="n">
        <f aca="false">Benefits!I48*I7</f>
        <v>246800</v>
      </c>
      <c r="J9" s="51" t="n">
        <f aca="false">Benefits!J48*J7</f>
        <v>251854</v>
      </c>
      <c r="K9" s="51" t="n">
        <f aca="false">Benefits!K48*K7</f>
        <v>257027.62</v>
      </c>
      <c r="L9" s="51" t="n">
        <f aca="false">Benefits!L48*L7</f>
        <v>262323.8086</v>
      </c>
      <c r="M9" s="51" t="n">
        <f aca="false">Benefits!M48*M7</f>
        <v>267745.590058</v>
      </c>
      <c r="N9" s="51" t="n">
        <f aca="false">Benefits!N48*N7</f>
        <v>273296.06630374</v>
      </c>
      <c r="O9" s="51" t="n">
        <f aca="false">Benefits!O48*O7</f>
        <v>278978.419007732</v>
      </c>
      <c r="P9" s="51" t="n">
        <f aca="false">Benefits!P48*P7</f>
        <v>292795.911707142</v>
      </c>
      <c r="Q9" s="51" t="n">
        <f aca="false">Benefits!Q48*Q7</f>
        <v>290751.891990117</v>
      </c>
      <c r="R9" s="51" t="n">
        <f aca="false">Benefits!R48*R7</f>
        <v>296849.793740217</v>
      </c>
      <c r="S9" s="51" t="n">
        <f aca="false">Benefits!S48*S7</f>
        <v>303093.139442628</v>
      </c>
      <c r="T9" s="51" t="n">
        <f aca="false">Benefits!T48*T7</f>
        <v>309485.542553915</v>
      </c>
      <c r="U9" s="51" t="n">
        <f aca="false">Benefits!U48*U7</f>
        <v>316030.709937101</v>
      </c>
      <c r="V9" s="51" t="n">
        <f aca="false">Benefits!V48*V7</f>
        <v>322732.444363914</v>
      </c>
      <c r="W9" s="51" t="n">
        <f aca="false">Benefits!W48*W7</f>
        <v>0</v>
      </c>
      <c r="X9" s="51" t="n">
        <f aca="false">Benefits!X48*X7</f>
        <v>0</v>
      </c>
      <c r="Y9" s="51" t="n">
        <f aca="false">Benefits!Y48*Y7</f>
        <v>0</v>
      </c>
      <c r="Z9" s="51" t="n">
        <f aca="false">Benefits!Z48*Z7</f>
        <v>0</v>
      </c>
      <c r="AA9" s="51" t="n">
        <f aca="false">Benefits!AA48*AA7</f>
        <v>0</v>
      </c>
    </row>
    <row r="10" customFormat="false" ht="15" hidden="false" customHeight="false" outlineLevel="0" collapsed="false">
      <c r="A10" s="7" t="s">
        <v>126</v>
      </c>
      <c r="G10" s="52" t="n">
        <f aca="false">IF(G5=Period,Residual,0)</f>
        <v>0</v>
      </c>
      <c r="H10" s="52" t="n">
        <f aca="false">IF(H5=Period,Residual,0)</f>
        <v>0</v>
      </c>
      <c r="I10" s="52" t="n">
        <f aca="false">IF(I5=Period,Residual,0)</f>
        <v>0</v>
      </c>
      <c r="J10" s="52" t="n">
        <f aca="false">IF(J5=Period,Residual,0)</f>
        <v>0</v>
      </c>
      <c r="K10" s="52" t="n">
        <f aca="false">IF(K5=Period,Residual,0)</f>
        <v>0</v>
      </c>
      <c r="L10" s="52" t="n">
        <f aca="false">IF(L5=Period,Residual,0)</f>
        <v>0</v>
      </c>
      <c r="M10" s="52" t="n">
        <f aca="false">IF(M5=Period,Residual,0)</f>
        <v>0</v>
      </c>
      <c r="N10" s="52" t="n">
        <f aca="false">IF(N5=Period,Residual,0)</f>
        <v>0</v>
      </c>
      <c r="O10" s="52" t="n">
        <f aca="false">IF(O5=Period,Residual,0)</f>
        <v>0</v>
      </c>
      <c r="P10" s="52" t="n">
        <f aca="false">IF(P5=Period,Residual,0)</f>
        <v>0</v>
      </c>
      <c r="Q10" s="52" t="n">
        <f aca="false">IF(Q5=Period,Residual,0)</f>
        <v>0</v>
      </c>
      <c r="R10" s="52" t="n">
        <f aca="false">IF(R5=Period,Residual,0)</f>
        <v>0</v>
      </c>
      <c r="S10" s="52" t="n">
        <f aca="false">IF(S5=Period,Residual,0)</f>
        <v>0</v>
      </c>
      <c r="T10" s="52" t="n">
        <f aca="false">IF(T5=Period,Residual,0)</f>
        <v>0</v>
      </c>
      <c r="U10" s="52" t="n">
        <f aca="false">IF(U5=Period,Residual,0)</f>
        <v>0</v>
      </c>
      <c r="V10" s="52" t="n">
        <f aca="false">IF(V5=Period,Residual,0)</f>
        <v>100000</v>
      </c>
      <c r="W10" s="52" t="n">
        <f aca="false">IF(W5=Period,Residual,0)</f>
        <v>0</v>
      </c>
      <c r="X10" s="52" t="n">
        <f aca="false">IF(X5=Period,Residual,0)</f>
        <v>0</v>
      </c>
      <c r="Y10" s="52" t="n">
        <f aca="false">IF(Y5=Period,Residual,0)</f>
        <v>0</v>
      </c>
      <c r="Z10" s="52" t="n">
        <f aca="false">IF(Z5=Period,Residual,0)</f>
        <v>0</v>
      </c>
      <c r="AA10" s="52" t="n">
        <f aca="false">IF(AA5=Period,Residual,0)</f>
        <v>0</v>
      </c>
    </row>
    <row r="11" customFormat="false" ht="15" hidden="false" customHeight="false" outlineLevel="0" collapsed="false">
      <c r="A11" s="53" t="s">
        <v>127</v>
      </c>
      <c r="G11" s="54" t="n">
        <f aca="false">G9+G10</f>
        <v>0</v>
      </c>
      <c r="H11" s="54" t="n">
        <f aca="false">H9+H10</f>
        <v>85000</v>
      </c>
      <c r="I11" s="54" t="n">
        <f aca="false">I9+I10</f>
        <v>246800</v>
      </c>
      <c r="J11" s="54" t="n">
        <f aca="false">J9+J10</f>
        <v>251854</v>
      </c>
      <c r="K11" s="54" t="n">
        <f aca="false">K9+K10</f>
        <v>257027.62</v>
      </c>
      <c r="L11" s="54" t="n">
        <f aca="false">L9+L10</f>
        <v>262323.8086</v>
      </c>
      <c r="M11" s="54" t="n">
        <f aca="false">M9+M10</f>
        <v>267745.590058</v>
      </c>
      <c r="N11" s="54" t="n">
        <f aca="false">N9+N10</f>
        <v>273296.06630374</v>
      </c>
      <c r="O11" s="54" t="n">
        <f aca="false">O9+O10</f>
        <v>278978.419007732</v>
      </c>
      <c r="P11" s="54" t="n">
        <f aca="false">P9+P10</f>
        <v>292795.911707142</v>
      </c>
      <c r="Q11" s="54" t="n">
        <f aca="false">Q9+Q10</f>
        <v>290751.891990117</v>
      </c>
      <c r="R11" s="54" t="n">
        <f aca="false">R9+R10</f>
        <v>296849.793740217</v>
      </c>
      <c r="S11" s="54" t="n">
        <f aca="false">S9+S10</f>
        <v>303093.139442628</v>
      </c>
      <c r="T11" s="54" t="n">
        <f aca="false">T9+T10</f>
        <v>309485.542553915</v>
      </c>
      <c r="U11" s="54" t="n">
        <f aca="false">U9+U10</f>
        <v>316030.709937101</v>
      </c>
      <c r="V11" s="54" t="n">
        <f aca="false">V9+V10</f>
        <v>422732.444363914</v>
      </c>
      <c r="W11" s="54" t="n">
        <f aca="false">W9+W10</f>
        <v>0</v>
      </c>
      <c r="X11" s="54" t="n">
        <f aca="false">X9+X10</f>
        <v>0</v>
      </c>
      <c r="Y11" s="54" t="n">
        <f aca="false">Y9+Y10</f>
        <v>0</v>
      </c>
      <c r="Z11" s="54" t="n">
        <f aca="false">Z9+Z10</f>
        <v>0</v>
      </c>
      <c r="AA11" s="54" t="n">
        <f aca="false">AA9+AA10</f>
        <v>0</v>
      </c>
    </row>
    <row r="12" customFormat="false" ht="15" hidden="false" customHeight="false" outlineLevel="0" collapsed="false">
      <c r="A12" s="53" t="s">
        <v>128</v>
      </c>
      <c r="G12" s="51" t="n">
        <f aca="false">Costs!G48*G7</f>
        <v>680000</v>
      </c>
      <c r="H12" s="51" t="n">
        <f aca="false">Costs!H48*H7</f>
        <v>232000</v>
      </c>
      <c r="I12" s="51" t="n">
        <f aca="false">Costs!I48*I7</f>
        <v>72420</v>
      </c>
      <c r="J12" s="51" t="n">
        <f aca="false">Costs!J48*J7</f>
        <v>72847.2</v>
      </c>
      <c r="K12" s="51" t="n">
        <f aca="false">Costs!K48*K7</f>
        <v>73281.732</v>
      </c>
      <c r="L12" s="51" t="n">
        <f aca="false">Costs!L48*L7</f>
        <v>73723.73052</v>
      </c>
      <c r="M12" s="51" t="n">
        <f aca="false">Costs!M48*M7</f>
        <v>74173.3326492</v>
      </c>
      <c r="N12" s="51" t="n">
        <f aca="false">Costs!N48*N7</f>
        <v>74630.678096172</v>
      </c>
      <c r="O12" s="51" t="n">
        <f aca="false">Costs!O48*O7</f>
        <v>155095.909240023</v>
      </c>
      <c r="P12" s="51" t="n">
        <f aca="false">Costs!P48*P7</f>
        <v>75569.171182571</v>
      </c>
      <c r="Q12" s="51" t="n">
        <f aca="false">Costs!Q48*Q7</f>
        <v>76050.611801547</v>
      </c>
      <c r="R12" s="51" t="n">
        <f aca="false">Costs!R48*R7</f>
        <v>76540.3818048558</v>
      </c>
      <c r="S12" s="51" t="n">
        <f aca="false">Costs!S48*S7</f>
        <v>77038.6347859036</v>
      </c>
      <c r="T12" s="51" t="n">
        <f aca="false">Costs!T48*T7</f>
        <v>77545.5272800218</v>
      </c>
      <c r="U12" s="51" t="n">
        <f aca="false">Costs!U48*U7</f>
        <v>78061.2188220064</v>
      </c>
      <c r="V12" s="51" t="n">
        <f aca="false">Costs!V48*V7</f>
        <v>78585.8720047946</v>
      </c>
      <c r="W12" s="51" t="n">
        <f aca="false">Costs!W48*W7</f>
        <v>0</v>
      </c>
      <c r="X12" s="51" t="n">
        <f aca="false">Costs!X48*X7</f>
        <v>0</v>
      </c>
      <c r="Y12" s="51" t="n">
        <f aca="false">Costs!Y48*Y7</f>
        <v>0</v>
      </c>
      <c r="Z12" s="51" t="n">
        <f aca="false">Costs!Z48*Z7</f>
        <v>0</v>
      </c>
      <c r="AA12" s="51" t="n">
        <f aca="false">Costs!AA48*AA7</f>
        <v>0</v>
      </c>
    </row>
    <row r="13" customFormat="false" ht="15" hidden="false" customHeight="false" outlineLevel="0" collapsed="false">
      <c r="A13" s="53" t="s">
        <v>129</v>
      </c>
      <c r="G13" s="55" t="n">
        <f aca="false">G11-G12</f>
        <v>-680000</v>
      </c>
      <c r="H13" s="55" t="n">
        <f aca="false">H11-H12</f>
        <v>-147000</v>
      </c>
      <c r="I13" s="55" t="n">
        <f aca="false">I11-I12</f>
        <v>174380</v>
      </c>
      <c r="J13" s="55" t="n">
        <f aca="false">J11-J12</f>
        <v>179006.8</v>
      </c>
      <c r="K13" s="55" t="n">
        <f aca="false">K11-K12</f>
        <v>183745.888</v>
      </c>
      <c r="L13" s="55" t="n">
        <f aca="false">L11-L12</f>
        <v>188600.07808</v>
      </c>
      <c r="M13" s="55" t="n">
        <f aca="false">M11-M12</f>
        <v>193572.2574088</v>
      </c>
      <c r="N13" s="55" t="n">
        <f aca="false">N11-N12</f>
        <v>198665.388207568</v>
      </c>
      <c r="O13" s="55" t="n">
        <f aca="false">O11-O12</f>
        <v>123882.509767709</v>
      </c>
      <c r="P13" s="55" t="n">
        <f aca="false">P11-P12</f>
        <v>217226.740524571</v>
      </c>
      <c r="Q13" s="55" t="n">
        <f aca="false">Q11-Q12</f>
        <v>214701.28018857</v>
      </c>
      <c r="R13" s="55" t="n">
        <f aca="false">R11-R12</f>
        <v>220309.411935361</v>
      </c>
      <c r="S13" s="55" t="n">
        <f aca="false">S11-S12</f>
        <v>226054.504656724</v>
      </c>
      <c r="T13" s="55" t="n">
        <f aca="false">T11-T12</f>
        <v>231940.015273893</v>
      </c>
      <c r="U13" s="55" t="n">
        <f aca="false">U11-U12</f>
        <v>237969.491115095</v>
      </c>
      <c r="V13" s="55" t="n">
        <f aca="false">V11-V12</f>
        <v>344146.57235912</v>
      </c>
      <c r="W13" s="55" t="n">
        <f aca="false">W11-W12</f>
        <v>0</v>
      </c>
      <c r="X13" s="55" t="n">
        <f aca="false">X11-X12</f>
        <v>0</v>
      </c>
      <c r="Y13" s="55" t="n">
        <f aca="false">Y11-Y12</f>
        <v>0</v>
      </c>
      <c r="Z13" s="55" t="n">
        <f aca="false">Z11-Z12</f>
        <v>0</v>
      </c>
      <c r="AA13" s="55" t="n">
        <f aca="false">AA11-AA12</f>
        <v>0</v>
      </c>
    </row>
    <row r="14" customFormat="false" ht="15" hidden="false" customHeight="false" outlineLevel="0" collapsed="false">
      <c r="A14" s="7" t="s">
        <v>130</v>
      </c>
      <c r="G14" s="52" t="n">
        <f aca="false">G13</f>
        <v>-680000</v>
      </c>
      <c r="H14" s="52" t="n">
        <f aca="false">G14+H13</f>
        <v>-827000</v>
      </c>
      <c r="I14" s="52" t="n">
        <f aca="false">H14+I13</f>
        <v>-652620</v>
      </c>
      <c r="J14" s="52" t="n">
        <f aca="false">I14+J13</f>
        <v>-473613.2</v>
      </c>
      <c r="K14" s="52" t="n">
        <f aca="false">J14+K13</f>
        <v>-289867.312</v>
      </c>
      <c r="L14" s="52" t="n">
        <f aca="false">K14+L13</f>
        <v>-101267.23392</v>
      </c>
      <c r="M14" s="52" t="n">
        <f aca="false">L14+M13</f>
        <v>92305.0234888</v>
      </c>
      <c r="N14" s="52" t="n">
        <f aca="false">M14+N13</f>
        <v>290970.411696368</v>
      </c>
      <c r="O14" s="52" t="n">
        <f aca="false">N14+O13</f>
        <v>414852.921464077</v>
      </c>
      <c r="P14" s="52" t="n">
        <f aca="false">O14+P13</f>
        <v>632079.661988648</v>
      </c>
      <c r="Q14" s="52" t="n">
        <f aca="false">P14+Q13</f>
        <v>846780.942177218</v>
      </c>
      <c r="R14" s="52" t="n">
        <f aca="false">Q14+R13</f>
        <v>1067090.35411258</v>
      </c>
      <c r="S14" s="52" t="n">
        <f aca="false">R14+S13</f>
        <v>1293144.8587693</v>
      </c>
      <c r="T14" s="52" t="n">
        <f aca="false">S14+T13</f>
        <v>1525084.8740432</v>
      </c>
      <c r="U14" s="52" t="n">
        <f aca="false">T14+U13</f>
        <v>1763054.36515829</v>
      </c>
      <c r="V14" s="52" t="n">
        <f aca="false">U14+V13</f>
        <v>2107200.93751741</v>
      </c>
      <c r="W14" s="52" t="n">
        <f aca="false">V14+W13</f>
        <v>2107200.93751741</v>
      </c>
      <c r="X14" s="52" t="n">
        <f aca="false">W14+X13</f>
        <v>2107200.93751741</v>
      </c>
      <c r="Y14" s="52" t="n">
        <f aca="false">X14+Y13</f>
        <v>2107200.93751741</v>
      </c>
      <c r="Z14" s="52" t="n">
        <f aca="false">Y14+Z13</f>
        <v>2107200.93751741</v>
      </c>
      <c r="AA14" s="52" t="n">
        <f aca="false">Z14+AA13</f>
        <v>2107200.93751741</v>
      </c>
    </row>
    <row r="16" customFormat="false" ht="15" hidden="false" customHeight="false" outlineLevel="0" collapsed="false">
      <c r="A16" s="7" t="s">
        <v>131</v>
      </c>
      <c r="G16" s="56" t="n">
        <f aca="false">1/(1+Rate)^G5</f>
        <v>1</v>
      </c>
      <c r="H16" s="56" t="n">
        <f aca="false">1/(1+Rate)^H5</f>
        <v>0.909090909090909</v>
      </c>
      <c r="I16" s="56" t="n">
        <f aca="false">1/(1+Rate)^I5</f>
        <v>0.826446280991735</v>
      </c>
      <c r="J16" s="56" t="n">
        <f aca="false">1/(1+Rate)^J5</f>
        <v>0.751314800901578</v>
      </c>
      <c r="K16" s="56" t="n">
        <f aca="false">1/(1+Rate)^K5</f>
        <v>0.683013455365071</v>
      </c>
      <c r="L16" s="56" t="n">
        <f aca="false">1/(1+Rate)^L5</f>
        <v>0.620921323059155</v>
      </c>
      <c r="M16" s="56" t="n">
        <f aca="false">1/(1+Rate)^M5</f>
        <v>0.564473930053777</v>
      </c>
      <c r="N16" s="56" t="n">
        <f aca="false">1/(1+Rate)^N5</f>
        <v>0.513158118230707</v>
      </c>
      <c r="O16" s="56" t="n">
        <f aca="false">1/(1+Rate)^O5</f>
        <v>0.466507380209733</v>
      </c>
      <c r="P16" s="56" t="n">
        <f aca="false">1/(1+Rate)^P5</f>
        <v>0.424097618372485</v>
      </c>
      <c r="Q16" s="56" t="n">
        <f aca="false">1/(1+Rate)^Q5</f>
        <v>0.385543289429531</v>
      </c>
      <c r="R16" s="56" t="n">
        <f aca="false">1/(1+Rate)^R5</f>
        <v>0.350493899481392</v>
      </c>
      <c r="S16" s="56" t="n">
        <f aca="false">1/(1+Rate)^S5</f>
        <v>0.318630817710357</v>
      </c>
      <c r="T16" s="56" t="n">
        <f aca="false">1/(1+Rate)^T5</f>
        <v>0.289664379736688</v>
      </c>
      <c r="U16" s="56" t="n">
        <f aca="false">1/(1+Rate)^U5</f>
        <v>0.26333125430608</v>
      </c>
      <c r="V16" s="56" t="n">
        <f aca="false">1/(1+Rate)^V5</f>
        <v>0.239392049369163</v>
      </c>
      <c r="W16" s="56" t="n">
        <f aca="false">1/(1+Rate)^W5</f>
        <v>0.217629135790149</v>
      </c>
      <c r="X16" s="56" t="n">
        <f aca="false">1/(1+Rate)^X5</f>
        <v>0.197844668900135</v>
      </c>
      <c r="Y16" s="56" t="n">
        <f aca="false">1/(1+Rate)^Y5</f>
        <v>0.179858789909214</v>
      </c>
      <c r="Z16" s="56" t="n">
        <f aca="false">1/(1+Rate)^Z5</f>
        <v>0.163507990826558</v>
      </c>
      <c r="AA16" s="56" t="n">
        <f aca="false">1/(1+Rate)^AA5</f>
        <v>0.148643628024143</v>
      </c>
    </row>
    <row r="17" customFormat="false" ht="15" hidden="false" customHeight="false" outlineLevel="0" collapsed="false">
      <c r="A17" s="7" t="s">
        <v>132</v>
      </c>
      <c r="G17" s="52" t="n">
        <f aca="false">G11*G16</f>
        <v>0</v>
      </c>
      <c r="H17" s="52" t="n">
        <f aca="false">H11*H16</f>
        <v>77272.7272727273</v>
      </c>
      <c r="I17" s="52" t="n">
        <f aca="false">I11*I16</f>
        <v>203966.94214876</v>
      </c>
      <c r="J17" s="52" t="n">
        <f aca="false">J11*J16</f>
        <v>189221.637866266</v>
      </c>
      <c r="K17" s="52" t="n">
        <f aca="false">K11*K16</f>
        <v>175553.32286046</v>
      </c>
      <c r="L17" s="52" t="n">
        <f aca="false">L11*L16</f>
        <v>162882.446305829</v>
      </c>
      <c r="M17" s="52" t="n">
        <f aca="false">M11*M16</f>
        <v>151135.405474607</v>
      </c>
      <c r="N17" s="52" t="n">
        <f aca="false">N11*N16</f>
        <v>140244.095104282</v>
      </c>
      <c r="O17" s="52" t="n">
        <f aca="false">O11*O16</f>
        <v>130145.49138635</v>
      </c>
      <c r="P17" s="52" t="n">
        <f aca="false">P11*P16</f>
        <v>124174.048824199</v>
      </c>
      <c r="Q17" s="52" t="n">
        <f aca="false">Q11*Q16</f>
        <v>112097.44084573</v>
      </c>
      <c r="R17" s="52" t="n">
        <f aca="false">R11*R16</f>
        <v>104044.041768256</v>
      </c>
      <c r="S17" s="52" t="n">
        <f aca="false">S11*S16</f>
        <v>96574.8148630037</v>
      </c>
      <c r="T17" s="52" t="n">
        <f aca="false">T11*T16</f>
        <v>89646.9377213521</v>
      </c>
      <c r="U17" s="52" t="n">
        <f aca="false">U11*U16</f>
        <v>83220.7632469777</v>
      </c>
      <c r="V17" s="52" t="n">
        <f aca="false">V11*V16</f>
        <v>101198.786191113</v>
      </c>
      <c r="W17" s="52" t="n">
        <f aca="false">W11*W16</f>
        <v>0</v>
      </c>
      <c r="X17" s="52" t="n">
        <f aca="false">X11*X16</f>
        <v>0</v>
      </c>
      <c r="Y17" s="52" t="n">
        <f aca="false">Y11*Y16</f>
        <v>0</v>
      </c>
      <c r="Z17" s="52" t="n">
        <f aca="false">Z11*Z16</f>
        <v>0</v>
      </c>
      <c r="AA17" s="52" t="n">
        <f aca="false">AA11*AA16</f>
        <v>0</v>
      </c>
    </row>
    <row r="18" customFormat="false" ht="15" hidden="false" customHeight="false" outlineLevel="0" collapsed="false">
      <c r="A18" s="7" t="s">
        <v>133</v>
      </c>
      <c r="G18" s="52" t="n">
        <f aca="false">G12*G16</f>
        <v>680000</v>
      </c>
      <c r="H18" s="52" t="n">
        <f aca="false">H12*H16</f>
        <v>210909.090909091</v>
      </c>
      <c r="I18" s="52" t="n">
        <f aca="false">I12*I16</f>
        <v>59851.2396694215</v>
      </c>
      <c r="J18" s="52" t="n">
        <f aca="false">J12*J16</f>
        <v>54731.1795642374</v>
      </c>
      <c r="K18" s="52" t="n">
        <f aca="false">K12*K16</f>
        <v>50052.4089884571</v>
      </c>
      <c r="L18" s="52" t="n">
        <f aca="false">L12*L16</f>
        <v>45776.636295335</v>
      </c>
      <c r="M18" s="52" t="n">
        <f aca="false">M12*M16</f>
        <v>41868.9125856801</v>
      </c>
      <c r="N18" s="52" t="n">
        <f aca="false">N12*N16</f>
        <v>38297.3383341132</v>
      </c>
      <c r="O18" s="52" t="n">
        <f aca="false">O12*O16</f>
        <v>72353.3863008098</v>
      </c>
      <c r="P18" s="52" t="n">
        <f aca="false">P12*P16</f>
        <v>32048.7055209109</v>
      </c>
      <c r="Q18" s="52" t="n">
        <f aca="false">Q12*Q16</f>
        <v>29320.8030370968</v>
      </c>
      <c r="R18" s="52" t="n">
        <f aca="false">R12*R16</f>
        <v>26826.9368865785</v>
      </c>
      <c r="S18" s="52" t="n">
        <f aca="false">S12*S16</f>
        <v>24546.883197122</v>
      </c>
      <c r="T18" s="52" t="n">
        <f aca="false">T12*T16</f>
        <v>22462.1770609219</v>
      </c>
      <c r="U18" s="52" t="n">
        <f aca="false">U12*U16</f>
        <v>20555.9586650603</v>
      </c>
      <c r="V18" s="52" t="n">
        <f aca="false">V12*V16</f>
        <v>18812.8329506905</v>
      </c>
      <c r="W18" s="52" t="n">
        <f aca="false">W12*W16</f>
        <v>0</v>
      </c>
      <c r="X18" s="52" t="n">
        <f aca="false">X12*X16</f>
        <v>0</v>
      </c>
      <c r="Y18" s="52" t="n">
        <f aca="false">Y12*Y16</f>
        <v>0</v>
      </c>
      <c r="Z18" s="52" t="n">
        <f aca="false">Z12*Z16</f>
        <v>0</v>
      </c>
      <c r="AA18" s="52" t="n">
        <f aca="false">AA12*AA16</f>
        <v>0</v>
      </c>
    </row>
    <row r="19" customFormat="false" ht="15" hidden="false" customHeight="false" outlineLevel="0" collapsed="false">
      <c r="A19" s="53" t="s">
        <v>134</v>
      </c>
      <c r="G19" s="57" t="n">
        <f aca="false">G13*G16</f>
        <v>-680000</v>
      </c>
      <c r="H19" s="57" t="n">
        <f aca="false">H13*H16</f>
        <v>-133636.363636364</v>
      </c>
      <c r="I19" s="57" t="n">
        <f aca="false">I13*I16</f>
        <v>144115.702479339</v>
      </c>
      <c r="J19" s="57" t="n">
        <f aca="false">J13*J16</f>
        <v>134490.458302029</v>
      </c>
      <c r="K19" s="57" t="n">
        <f aca="false">K13*K16</f>
        <v>125500.913872003</v>
      </c>
      <c r="L19" s="57" t="n">
        <f aca="false">L13*L16</f>
        <v>117105.810010494</v>
      </c>
      <c r="M19" s="57" t="n">
        <f aca="false">M13*M16</f>
        <v>109266.492888927</v>
      </c>
      <c r="N19" s="57" t="n">
        <f aca="false">N13*N16</f>
        <v>101946.756770168</v>
      </c>
      <c r="O19" s="57" t="n">
        <f aca="false">O13*O16</f>
        <v>57792.1050855406</v>
      </c>
      <c r="P19" s="57" t="n">
        <f aca="false">P13*P16</f>
        <v>92125.3433032882</v>
      </c>
      <c r="Q19" s="57" t="n">
        <f aca="false">Q13*Q16</f>
        <v>82776.6378086329</v>
      </c>
      <c r="R19" s="57" t="n">
        <f aca="false">R13*R16</f>
        <v>77217.1048816771</v>
      </c>
      <c r="S19" s="57" t="n">
        <f aca="false">S13*S16</f>
        <v>72027.9316658817</v>
      </c>
      <c r="T19" s="57" t="n">
        <f aca="false">T13*T16</f>
        <v>67184.7606604302</v>
      </c>
      <c r="U19" s="57" t="n">
        <f aca="false">U13*U16</f>
        <v>62664.8045819174</v>
      </c>
      <c r="V19" s="57" t="n">
        <f aca="false">V13*V16</f>
        <v>82385.9532404227</v>
      </c>
      <c r="W19" s="57" t="n">
        <f aca="false">W13*W16</f>
        <v>0</v>
      </c>
      <c r="X19" s="57" t="n">
        <f aca="false">X13*X16</f>
        <v>0</v>
      </c>
      <c r="Y19" s="57" t="n">
        <f aca="false">Y13*Y16</f>
        <v>0</v>
      </c>
      <c r="Z19" s="57" t="n">
        <f aca="false">Z13*Z16</f>
        <v>0</v>
      </c>
      <c r="AA19" s="57" t="n">
        <f aca="false">AA13*AA16</f>
        <v>0</v>
      </c>
    </row>
    <row r="20" customFormat="false" ht="15" hidden="false" customHeight="false" outlineLevel="0" collapsed="false">
      <c r="A20" s="7" t="s">
        <v>135</v>
      </c>
      <c r="G20" s="52" t="n">
        <f aca="false">G19</f>
        <v>-680000</v>
      </c>
      <c r="H20" s="52" t="n">
        <f aca="false">G20+H19</f>
        <v>-813636.363636364</v>
      </c>
      <c r="I20" s="52" t="n">
        <f aca="false">H20+I19</f>
        <v>-669520.661157025</v>
      </c>
      <c r="J20" s="52" t="n">
        <f aca="false">I20+J19</f>
        <v>-535030.202854996</v>
      </c>
      <c r="K20" s="52" t="n">
        <f aca="false">J20+K19</f>
        <v>-409529.288982993</v>
      </c>
      <c r="L20" s="52" t="n">
        <f aca="false">K20+L19</f>
        <v>-292423.4789725</v>
      </c>
      <c r="M20" s="52" t="n">
        <f aca="false">L20+M19</f>
        <v>-183156.986083573</v>
      </c>
      <c r="N20" s="52" t="n">
        <f aca="false">M20+N19</f>
        <v>-81210.2293134044</v>
      </c>
      <c r="O20" s="52" t="n">
        <f aca="false">N20+O19</f>
        <v>-23418.1242278639</v>
      </c>
      <c r="P20" s="52" t="n">
        <f aca="false">O20+P19</f>
        <v>68707.2190754243</v>
      </c>
      <c r="Q20" s="52" t="n">
        <f aca="false">P20+Q19</f>
        <v>151483.856884057</v>
      </c>
      <c r="R20" s="52" t="n">
        <f aca="false">Q20+R19</f>
        <v>228700.961765734</v>
      </c>
      <c r="S20" s="52" t="n">
        <f aca="false">R20+S19</f>
        <v>300728.893431616</v>
      </c>
      <c r="T20" s="52" t="n">
        <f aca="false">S20+T19</f>
        <v>367913.654092046</v>
      </c>
      <c r="U20" s="52" t="n">
        <f aca="false">T20+U19</f>
        <v>430578.458673964</v>
      </c>
      <c r="V20" s="52" t="n">
        <f aca="false">U20+V19</f>
        <v>512964.411914386</v>
      </c>
      <c r="W20" s="52" t="n">
        <f aca="false">V20+W19</f>
        <v>512964.411914386</v>
      </c>
      <c r="X20" s="52" t="n">
        <f aca="false">W20+X19</f>
        <v>512964.411914386</v>
      </c>
      <c r="Y20" s="52" t="n">
        <f aca="false">X20+Y19</f>
        <v>512964.411914386</v>
      </c>
      <c r="Z20" s="52" t="n">
        <f aca="false">Y20+Z19</f>
        <v>512964.411914386</v>
      </c>
      <c r="AA20" s="52" t="n">
        <f aca="false">Z20+AA19</f>
        <v>512964.411914386</v>
      </c>
    </row>
    <row r="22" customFormat="false" ht="15" hidden="false" customHeight="false" outlineLevel="0" collapsed="false">
      <c r="A22" s="7" t="s">
        <v>136</v>
      </c>
      <c r="G22" s="58" t="str">
        <f aca="false">""</f>
        <v/>
      </c>
      <c r="H22" s="58" t="str">
        <f aca="false">IF(AND(H7=1,H14&gt;=0,G14&lt;0),H5,"")</f>
        <v/>
      </c>
      <c r="I22" s="58" t="str">
        <f aca="false">IF(AND(I7=1,I14&gt;=0,H14&lt;0),I5,"")</f>
        <v/>
      </c>
      <c r="J22" s="58" t="str">
        <f aca="false">IF(AND(J7=1,J14&gt;=0,I14&lt;0),J5,"")</f>
        <v/>
      </c>
      <c r="K22" s="58" t="str">
        <f aca="false">IF(AND(K7=1,K14&gt;=0,J14&lt;0),K5,"")</f>
        <v/>
      </c>
      <c r="L22" s="58" t="str">
        <f aca="false">IF(AND(L7=1,L14&gt;=0,K14&lt;0),L5,"")</f>
        <v/>
      </c>
      <c r="M22" s="58" t="n">
        <f aca="false">IF(AND(M7=1,M14&gt;=0,L14&lt;0),M5,"")</f>
        <v>6</v>
      </c>
      <c r="N22" s="58" t="str">
        <f aca="false">IF(AND(N7=1,N14&gt;=0,M14&lt;0),N5,"")</f>
        <v/>
      </c>
      <c r="O22" s="58" t="str">
        <f aca="false">IF(AND(O7=1,O14&gt;=0,N14&lt;0),O5,"")</f>
        <v/>
      </c>
      <c r="P22" s="58" t="str">
        <f aca="false">IF(AND(P7=1,P14&gt;=0,O14&lt;0),P5,"")</f>
        <v/>
      </c>
      <c r="Q22" s="58" t="str">
        <f aca="false">IF(AND(Q7=1,Q14&gt;=0,P14&lt;0),Q5,"")</f>
        <v/>
      </c>
      <c r="R22" s="58" t="str">
        <f aca="false">IF(AND(R7=1,R14&gt;=0,Q14&lt;0),R5,"")</f>
        <v/>
      </c>
      <c r="S22" s="58" t="str">
        <f aca="false">IF(AND(S7=1,S14&gt;=0,R14&lt;0),S5,"")</f>
        <v/>
      </c>
      <c r="T22" s="58" t="str">
        <f aca="false">IF(AND(T7=1,T14&gt;=0,S14&lt;0),T5,"")</f>
        <v/>
      </c>
      <c r="U22" s="58" t="str">
        <f aca="false">IF(AND(U7=1,U14&gt;=0,T14&lt;0),U5,"")</f>
        <v/>
      </c>
      <c r="V22" s="58" t="str">
        <f aca="false">IF(AND(V7=1,V14&gt;=0,U14&lt;0),V5,"")</f>
        <v/>
      </c>
      <c r="W22" s="58" t="str">
        <f aca="false">IF(AND(W7=1,W14&gt;=0,V14&lt;0),W5,"")</f>
        <v/>
      </c>
      <c r="X22" s="58" t="str">
        <f aca="false">IF(AND(X7=1,X14&gt;=0,W14&lt;0),X5,"")</f>
        <v/>
      </c>
      <c r="Y22" s="58" t="str">
        <f aca="false">IF(AND(Y7=1,Y14&gt;=0,X14&lt;0),Y5,"")</f>
        <v/>
      </c>
      <c r="Z22" s="58" t="str">
        <f aca="false">IF(AND(Z7=1,Z14&gt;=0,Y14&lt;0),Z5,"")</f>
        <v/>
      </c>
      <c r="AA22" s="58" t="str">
        <f aca="false">IF(AND(AA7=1,AA14&gt;=0,Z14&lt;0),AA5,"")</f>
        <v/>
      </c>
    </row>
    <row r="23" customFormat="false" ht="15" hidden="false" customHeight="false" outlineLevel="0" collapsed="false">
      <c r="A23" s="7" t="s">
        <v>137</v>
      </c>
      <c r="G23" s="58" t="str">
        <f aca="false">""</f>
        <v/>
      </c>
      <c r="H23" s="58" t="str">
        <f aca="false">IF(AND(H7=1,H20&gt;=0,G20&lt;0),H5,"")</f>
        <v/>
      </c>
      <c r="I23" s="58" t="str">
        <f aca="false">IF(AND(I7=1,I20&gt;=0,H20&lt;0),I5,"")</f>
        <v/>
      </c>
      <c r="J23" s="58" t="str">
        <f aca="false">IF(AND(J7=1,J20&gt;=0,I20&lt;0),J5,"")</f>
        <v/>
      </c>
      <c r="K23" s="58" t="str">
        <f aca="false">IF(AND(K7=1,K20&gt;=0,J20&lt;0),K5,"")</f>
        <v/>
      </c>
      <c r="L23" s="58" t="str">
        <f aca="false">IF(AND(L7=1,L20&gt;=0,K20&lt;0),L5,"")</f>
        <v/>
      </c>
      <c r="M23" s="58" t="str">
        <f aca="false">IF(AND(M7=1,M20&gt;=0,L20&lt;0),M5,"")</f>
        <v/>
      </c>
      <c r="N23" s="58" t="str">
        <f aca="false">IF(AND(N7=1,N20&gt;=0,M20&lt;0),N5,"")</f>
        <v/>
      </c>
      <c r="O23" s="58" t="str">
        <f aca="false">IF(AND(O7=1,O20&gt;=0,N20&lt;0),O5,"")</f>
        <v/>
      </c>
      <c r="P23" s="58" t="n">
        <f aca="false">IF(AND(P7=1,P20&gt;=0,O20&lt;0),P5,"")</f>
        <v>9</v>
      </c>
      <c r="Q23" s="58" t="str">
        <f aca="false">IF(AND(Q7=1,Q20&gt;=0,P20&lt;0),Q5,"")</f>
        <v/>
      </c>
      <c r="R23" s="58" t="str">
        <f aca="false">IF(AND(R7=1,R20&gt;=0,Q20&lt;0),R5,"")</f>
        <v/>
      </c>
      <c r="S23" s="58" t="str">
        <f aca="false">IF(AND(S7=1,S20&gt;=0,R20&lt;0),S5,"")</f>
        <v/>
      </c>
      <c r="T23" s="58" t="str">
        <f aca="false">IF(AND(T7=1,T20&gt;=0,S20&lt;0),T5,"")</f>
        <v/>
      </c>
      <c r="U23" s="58" t="str">
        <f aca="false">IF(AND(U7=1,U20&gt;=0,T20&lt;0),U5,"")</f>
        <v/>
      </c>
      <c r="V23" s="58" t="str">
        <f aca="false">IF(AND(V7=1,V20&gt;=0,U20&lt;0),V5,"")</f>
        <v/>
      </c>
      <c r="W23" s="58" t="str">
        <f aca="false">IF(AND(W7=1,W20&gt;=0,V20&lt;0),W5,"")</f>
        <v/>
      </c>
      <c r="X23" s="58" t="str">
        <f aca="false">IF(AND(X7=1,X20&gt;=0,W20&lt;0),X5,"")</f>
        <v/>
      </c>
      <c r="Y23" s="58" t="str">
        <f aca="false">IF(AND(Y7=1,Y20&gt;=0,X20&lt;0),Y5,"")</f>
        <v/>
      </c>
      <c r="Z23" s="58" t="str">
        <f aca="false">IF(AND(Z7=1,Z20&gt;=0,Y20&lt;0),Z5,"")</f>
        <v/>
      </c>
      <c r="AA23" s="58" t="str">
        <f aca="false">IF(AND(AA7=1,AA20&gt;=0,Z20&lt;0),AA5,"")</f>
        <v/>
      </c>
    </row>
    <row r="26" customFormat="false" ht="15" hidden="false" customHeight="false" outlineLevel="0" collapsed="false">
      <c r="A26" s="59" t="s">
        <v>138</v>
      </c>
    </row>
    <row r="27" customFormat="false" ht="15" hidden="false" customHeight="true" outlineLevel="0" collapsed="false">
      <c r="A27" s="13" t="s">
        <v>139</v>
      </c>
      <c r="G27" s="60" t="s">
        <v>32</v>
      </c>
      <c r="H27" s="60"/>
    </row>
    <row r="28" customFormat="false" ht="15" hidden="false" customHeight="false" outlineLevel="0" collapsed="false">
      <c r="A28" s="53" t="s">
        <v>140</v>
      </c>
      <c r="G28" s="61" t="n">
        <f aca="false">SUM(G17:AA17)</f>
        <v>1941378.90187991</v>
      </c>
      <c r="H28" s="61"/>
    </row>
    <row r="29" customFormat="false" ht="15" hidden="false" customHeight="false" outlineLevel="0" collapsed="false">
      <c r="A29" s="53" t="s">
        <v>141</v>
      </c>
      <c r="G29" s="61" t="n">
        <f aca="false">SUM(G18:AA18)</f>
        <v>1428414.48996553</v>
      </c>
      <c r="H29" s="61"/>
    </row>
    <row r="30" customFormat="false" ht="15" hidden="false" customHeight="false" outlineLevel="0" collapsed="false">
      <c r="A30" s="53" t="s">
        <v>142</v>
      </c>
      <c r="G30" s="62" t="n">
        <f aca="false">G28-G29</f>
        <v>512964.411914386</v>
      </c>
      <c r="H30" s="62"/>
    </row>
    <row r="31" customFormat="false" ht="15" hidden="false" customHeight="false" outlineLevel="0" collapsed="false">
      <c r="A31" s="53" t="s">
        <v>143</v>
      </c>
      <c r="G31" s="63" t="n">
        <f aca="false">IFERROR(G28/G29,0)</f>
        <v>1.35911453959471</v>
      </c>
      <c r="H31" s="63"/>
    </row>
    <row r="32" customFormat="false" ht="15" hidden="false" customHeight="false" outlineLevel="0" collapsed="false">
      <c r="A32" s="53" t="s">
        <v>144</v>
      </c>
      <c r="G32" s="64" t="n">
        <f aca="false">IFERROR(IRR(G13:AA13,0.1),"n/a")</f>
        <v>0.182266652878381</v>
      </c>
      <c r="H32" s="64"/>
    </row>
    <row r="33" customFormat="false" ht="15" hidden="false" customHeight="false" outlineLevel="0" collapsed="false">
      <c r="A33" s="53" t="s">
        <v>145</v>
      </c>
      <c r="G33" s="65" t="n">
        <f aca="false">IF(COUNT(G22:AA22)=0,"Not within period",MIN(G22:AA22))</f>
        <v>6</v>
      </c>
      <c r="H33" s="65"/>
    </row>
    <row r="34" customFormat="false" ht="15" hidden="false" customHeight="false" outlineLevel="0" collapsed="false">
      <c r="A34" s="53" t="s">
        <v>146</v>
      </c>
      <c r="G34" s="65" t="n">
        <f aca="false">IF(COUNT(G23:AA23)=0,"Not within period",MIN(G23:AA23))</f>
        <v>9</v>
      </c>
      <c r="H34" s="65"/>
    </row>
    <row r="35" customFormat="false" ht="15" hidden="false" customHeight="false" outlineLevel="0" collapsed="false">
      <c r="A35" s="53" t="s">
        <v>147</v>
      </c>
      <c r="G35" s="61" t="n">
        <f aca="false">IFERROR(G30*Rate/(1-(1+Rate)^-Period),0)</f>
        <v>67441.3686431941</v>
      </c>
      <c r="H35" s="61"/>
    </row>
    <row r="36" customFormat="false" ht="26.85" hidden="false" customHeight="false" outlineLevel="0" collapsed="false">
      <c r="A36" s="53" t="s">
        <v>148</v>
      </c>
      <c r="G36" s="66" t="str">
        <f aca="false">IF(AND(G30&gt;0,G31&gt;1),"Economically viable – proceed",IF(G30&gt;0,"Marginal – review","Not viable at this discount rate"))</f>
        <v>Economically viable – proceed</v>
      </c>
      <c r="H36" s="66"/>
    </row>
    <row r="38" customFormat="false" ht="15" hidden="false" customHeight="false" outlineLevel="0" collapsed="false">
      <c r="A38" s="26" t="s">
        <v>149</v>
      </c>
    </row>
  </sheetData>
  <mergeCells count="10"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</mergeCells>
  <conditionalFormatting sqref="G13:AA14">
    <cfRule type="cellIs" priority="2" operator="lessThan" aboveAverage="0" equalAverage="0" bottom="0" percent="0" rank="0" text="" dxfId="0">
      <formula>0</formula>
    </cfRule>
  </conditionalFormatting>
  <conditionalFormatting sqref="G19:AA20">
    <cfRule type="cellIs" priority="3" operator="lessThan" aboveAverage="0" equalAverage="0" bottom="0" percent="0" rank="0" text="" dxfId="0">
      <formula>0</formula>
    </cfRule>
  </conditionalFormatting>
  <conditionalFormatting sqref="G5:AA20">
    <cfRule type="expression" priority="4" aboveAverage="0" equalAverage="0" bottom="0" percent="0" rank="0" text="" dxfId="1">
      <formula>G$7=0</formula>
    </cfRule>
  </conditionalFormatting>
  <conditionalFormatting sqref="G36">
    <cfRule type="expression" priority="5" aboveAverage="0" equalAverage="0" bottom="0" percent="0" rank="0" text="" dxfId="2">
      <formula>LEFT(G36,4)="Econ"</formula>
    </cfRule>
    <cfRule type="expression" priority="6" aboveAverage="0" equalAverage="0" bottom="0" percent="0" rank="0" text="" dxfId="3">
      <formula>LEFT(G36,3)="Not"</formula>
    </cfRule>
    <cfRule type="expression" priority="7" aboveAverage="0" equalAverage="0" bottom="0" percent="0" rank="0" text="" dxfId="4">
      <formula>LEFT(G36,4)="Marg"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false"/>
  </sheetPr>
  <dimension ref="A1:AA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1"/>
    <col collapsed="false" customWidth="true" hidden="false" outlineLevel="0" max="5" min="5" style="0" width="15"/>
    <col collapsed="false" customWidth="true" hidden="false" outlineLevel="0" max="6" min="6" style="0" width="10"/>
    <col collapsed="false" customWidth="true" hidden="false" outlineLevel="0" max="27" min="7" style="0" width="9"/>
  </cols>
  <sheetData>
    <row r="1" customFormat="false" ht="17.35" hidden="false" customHeight="false" outlineLevel="0" collapsed="false">
      <c r="A1" s="11" t="s">
        <v>150</v>
      </c>
    </row>
    <row r="2" customFormat="false" ht="15" hidden="false" customHeight="false" outlineLevel="0" collapsed="false">
      <c r="A2" s="2" t="str">
        <f aca="false">ProjName&amp;"   |   Base discount rate "&amp;TEXT(Rate,"0.0%")</f>
        <v>[Community Water Supply Scheme – Option A]   |   Base discount rate 10.0%</v>
      </c>
    </row>
    <row r="3" customFormat="false" ht="15" hidden="false" customHeight="false" outlineLevel="0" collapsed="false">
      <c r="A3" s="12" t="s">
        <v>151</v>
      </c>
    </row>
    <row r="5" customFormat="false" ht="23.85" hidden="false" customHeight="false" outlineLevel="0" collapsed="false">
      <c r="A5" s="25" t="s">
        <v>152</v>
      </c>
      <c r="B5" s="25" t="s">
        <v>153</v>
      </c>
      <c r="C5" s="25" t="s">
        <v>154</v>
      </c>
      <c r="D5" s="25" t="s">
        <v>155</v>
      </c>
      <c r="E5" s="25" t="s">
        <v>156</v>
      </c>
      <c r="F5" s="25" t="s">
        <v>157</v>
      </c>
      <c r="G5" s="25" t="s">
        <v>158</v>
      </c>
      <c r="H5" s="25" t="s">
        <v>159</v>
      </c>
    </row>
    <row r="6" customFormat="false" ht="15" hidden="false" customHeight="false" outlineLevel="0" collapsed="false">
      <c r="A6" s="53" t="s">
        <v>160</v>
      </c>
      <c r="B6" s="67" t="n">
        <f aca="false">1</f>
        <v>1</v>
      </c>
      <c r="C6" s="67" t="n">
        <f aca="false">1</f>
        <v>1</v>
      </c>
      <c r="D6" s="68" t="n">
        <f aca="false">Rate</f>
        <v>0.1</v>
      </c>
      <c r="E6" s="69" t="n">
        <f aca="false">SUMPRODUCT((BenRow*B6-CostRow*C6)/(1+D6)^YrRow)</f>
        <v>512964.411914386</v>
      </c>
      <c r="F6" s="67" t="n">
        <f aca="false">IFERROR(SUMPRODUCT(BenRow*B6/(1+D6)^YrRow)/SUMPRODUCT(CostRow*C6/(1+D6)^YrRow),0)</f>
        <v>1.35911453959471</v>
      </c>
      <c r="G6" s="70" t="n">
        <f aca="false">IFERROR(IRR(G30:AA30,0.1),"n/a")</f>
        <v>0.182266652878381</v>
      </c>
      <c r="H6" s="71" t="str">
        <f aca="false">IF(E6&gt;0,"Viable","Not viable")</f>
        <v>Viable</v>
      </c>
    </row>
    <row r="7" customFormat="false" ht="15" hidden="false" customHeight="false" outlineLevel="0" collapsed="false">
      <c r="A7" s="7" t="s">
        <v>161</v>
      </c>
      <c r="B7" s="67" t="n">
        <f aca="false">1</f>
        <v>1</v>
      </c>
      <c r="C7" s="67" t="n">
        <f aca="false">1+Step</f>
        <v>1.2</v>
      </c>
      <c r="D7" s="68" t="n">
        <f aca="false">Rate</f>
        <v>0.1</v>
      </c>
      <c r="E7" s="69" t="n">
        <f aca="false">SUMPRODUCT((BenRow*B7-CostRow*C7)/(1+D7)^YrRow)</f>
        <v>227281.513921281</v>
      </c>
      <c r="F7" s="67" t="n">
        <f aca="false">IFERROR(SUMPRODUCT(BenRow*B7/(1+D7)^YrRow)/SUMPRODUCT(CostRow*C7/(1+D7)^YrRow),0)</f>
        <v>1.13259544966226</v>
      </c>
      <c r="G7" s="70" t="n">
        <f aca="false">IFERROR(IRR(G31:AA31,0.1),"n/a")</f>
        <v>0.132296424837092</v>
      </c>
      <c r="H7" s="71" t="str">
        <f aca="false">IF(E7&gt;0,"Viable","Not viable")</f>
        <v>Viable</v>
      </c>
    </row>
    <row r="8" customFormat="false" ht="15" hidden="false" customHeight="false" outlineLevel="0" collapsed="false">
      <c r="A8" s="7" t="s">
        <v>162</v>
      </c>
      <c r="B8" s="67" t="n">
        <f aca="false">1</f>
        <v>1</v>
      </c>
      <c r="C8" s="67" t="n">
        <f aca="false">1-Step</f>
        <v>0.8</v>
      </c>
      <c r="D8" s="68" t="n">
        <f aca="false">Rate</f>
        <v>0.1</v>
      </c>
      <c r="E8" s="69" t="n">
        <f aca="false">SUMPRODUCT((BenRow*B8-CostRow*C8)/(1+D8)^YrRow)</f>
        <v>798647.309907491</v>
      </c>
      <c r="F8" s="67" t="n">
        <f aca="false">IFERROR(SUMPRODUCT(BenRow*B8/(1+D8)^YrRow)/SUMPRODUCT(CostRow*C8/(1+D8)^YrRow),0)</f>
        <v>1.69889317449339</v>
      </c>
      <c r="G8" s="70" t="n">
        <f aca="false">IFERROR(IRR(G32:AA32,0.1),"n/a")</f>
        <v>0.249614068148335</v>
      </c>
      <c r="H8" s="71" t="str">
        <f aca="false">IF(E8&gt;0,"Viable","Not viable")</f>
        <v>Viable</v>
      </c>
    </row>
    <row r="9" customFormat="false" ht="15" hidden="false" customHeight="false" outlineLevel="0" collapsed="false">
      <c r="A9" s="7" t="s">
        <v>163</v>
      </c>
      <c r="B9" s="67" t="n">
        <f aca="false">1-Step</f>
        <v>0.8</v>
      </c>
      <c r="C9" s="67" t="n">
        <f aca="false">1</f>
        <v>1</v>
      </c>
      <c r="D9" s="68" t="n">
        <f aca="false">Rate</f>
        <v>0.1</v>
      </c>
      <c r="E9" s="69" t="n">
        <f aca="false">SUMPRODUCT((BenRow*B9-CostRow*C9)/(1+D9)^YrRow)</f>
        <v>124688.631538404</v>
      </c>
      <c r="F9" s="67" t="n">
        <f aca="false">IFERROR(SUMPRODUCT(BenRow*B9/(1+D9)^YrRow)/SUMPRODUCT(CostRow*C9/(1+D9)^YrRow),0)</f>
        <v>1.08729163167577</v>
      </c>
      <c r="G9" s="70" t="n">
        <f aca="false">IFERROR(IRR(G33:AA33,0.1),"n/a")</f>
        <v>0.121573547489448</v>
      </c>
      <c r="H9" s="71" t="str">
        <f aca="false">IF(E9&gt;0,"Viable","Not viable")</f>
        <v>Viable</v>
      </c>
    </row>
    <row r="10" customFormat="false" ht="15" hidden="false" customHeight="false" outlineLevel="0" collapsed="false">
      <c r="A10" s="7" t="s">
        <v>164</v>
      </c>
      <c r="B10" s="67" t="n">
        <f aca="false">1+Step</f>
        <v>1.2</v>
      </c>
      <c r="C10" s="67" t="n">
        <f aca="false">1</f>
        <v>1</v>
      </c>
      <c r="D10" s="68" t="n">
        <f aca="false">Rate</f>
        <v>0.1</v>
      </c>
      <c r="E10" s="69" t="n">
        <f aca="false">SUMPRODUCT((BenRow*B10-CostRow*C10)/(1+D10)^YrRow)</f>
        <v>901240.192290369</v>
      </c>
      <c r="F10" s="67" t="n">
        <f aca="false">IFERROR(SUMPRODUCT(BenRow*B10/(1+D10)^YrRow)/SUMPRODUCT(CostRow*C10/(1+D10)^YrRow),0)</f>
        <v>1.63093744751366</v>
      </c>
      <c r="G10" s="70" t="n">
        <f aca="false">IFERROR(IRR(G34:AA34,0.1),"n/a")</f>
        <v>0.236676516322591</v>
      </c>
      <c r="H10" s="71" t="str">
        <f aca="false">IF(E10&gt;0,"Viable","Not viable")</f>
        <v>Viable</v>
      </c>
    </row>
    <row r="11" customFormat="false" ht="23.85" hidden="false" customHeight="false" outlineLevel="0" collapsed="false">
      <c r="A11" s="7" t="s">
        <v>165</v>
      </c>
      <c r="B11" s="67" t="n">
        <f aca="false">1-Step</f>
        <v>0.8</v>
      </c>
      <c r="C11" s="67" t="n">
        <f aca="false">1+Step</f>
        <v>1.2</v>
      </c>
      <c r="D11" s="68" t="n">
        <f aca="false">Rate</f>
        <v>0.1</v>
      </c>
      <c r="E11" s="69" t="n">
        <f aca="false">SUMPRODUCT((BenRow*B11-CostRow*C11)/(1+D11)^YrRow)</f>
        <v>-160994.266454701</v>
      </c>
      <c r="F11" s="67" t="n">
        <f aca="false">IFERROR(SUMPRODUCT(BenRow*B11/(1+D11)^YrRow)/SUMPRODUCT(CostRow*C11/(1+D11)^YrRow),0)</f>
        <v>0.906076359729809</v>
      </c>
      <c r="G11" s="70" t="n">
        <f aca="false">IFERROR(IRR(G35:AA35,0.1),"n/a")</f>
        <v>0.0751229492816839</v>
      </c>
      <c r="H11" s="71" t="str">
        <f aca="false">IF(E11&gt;0,"Viable","Not viable")</f>
        <v>Not viable</v>
      </c>
    </row>
    <row r="12" customFormat="false" ht="15" hidden="false" customHeight="false" outlineLevel="0" collapsed="false">
      <c r="A12" s="7" t="s">
        <v>166</v>
      </c>
      <c r="B12" s="67" t="n">
        <f aca="false">1</f>
        <v>1</v>
      </c>
      <c r="C12" s="67" t="n">
        <f aca="false">1</f>
        <v>1</v>
      </c>
      <c r="D12" s="68" t="n">
        <f aca="false">RateLow</f>
        <v>0.06</v>
      </c>
      <c r="E12" s="69" t="n">
        <f aca="false">SUMPRODUCT((BenRow*B12-CostRow*C12)/(1+D12)^YrRow)</f>
        <v>954062.516821736</v>
      </c>
      <c r="F12" s="67" t="n">
        <f aca="false">IFERROR(SUMPRODUCT(BenRow*B12/(1+D12)^YrRow)/SUMPRODUCT(CostRow*C12/(1+D12)^YrRow),0)</f>
        <v>1.59393929139115</v>
      </c>
      <c r="G12" s="70" t="n">
        <f aca="false">IFERROR(IRR(G36:AA36,0.1),"n/a")</f>
        <v>0.182266652878381</v>
      </c>
      <c r="H12" s="71" t="str">
        <f aca="false">IF(E12&gt;0,"Viable","Not viable")</f>
        <v>Viable</v>
      </c>
    </row>
    <row r="13" customFormat="false" ht="15" hidden="false" customHeight="false" outlineLevel="0" collapsed="false">
      <c r="A13" s="7" t="s">
        <v>167</v>
      </c>
      <c r="B13" s="67" t="n">
        <f aca="false">1</f>
        <v>1</v>
      </c>
      <c r="C13" s="67" t="n">
        <f aca="false">1</f>
        <v>1</v>
      </c>
      <c r="D13" s="68" t="n">
        <f aca="false">RateHigh</f>
        <v>0.14</v>
      </c>
      <c r="E13" s="69" t="n">
        <f aca="false">SUMPRODUCT((BenRow*B13-CostRow*C13)/(1+D13)^YrRow)</f>
        <v>216024.313478823</v>
      </c>
      <c r="F13" s="67" t="n">
        <f aca="false">IFERROR(SUMPRODUCT(BenRow*B13/(1+D13)^YrRow)/SUMPRODUCT(CostRow*C13/(1+D13)^YrRow),0)</f>
        <v>1.16572403648014</v>
      </c>
      <c r="G13" s="70" t="n">
        <f aca="false">IFERROR(IRR(G37:AA37,0.1),"n/a")</f>
        <v>0.182266652878381</v>
      </c>
      <c r="H13" s="71" t="str">
        <f aca="false">IF(E13&gt;0,"Viable","Not viable")</f>
        <v>Viable</v>
      </c>
    </row>
    <row r="14" customFormat="false" ht="15" hidden="false" customHeight="false" outlineLevel="0" collapsed="false">
      <c r="A14" s="7" t="s">
        <v>168</v>
      </c>
      <c r="B14" s="72" t="n">
        <v>0.9</v>
      </c>
      <c r="C14" s="72" t="n">
        <v>1.1</v>
      </c>
      <c r="D14" s="73" t="n">
        <f aca="false">Rate</f>
        <v>0.1</v>
      </c>
      <c r="E14" s="69" t="n">
        <f aca="false">SUMPRODUCT((BenRow*B14-CostRow*C14)/(1+D14)^YrRow)</f>
        <v>175985.072729842</v>
      </c>
      <c r="F14" s="67" t="n">
        <f aca="false">IFERROR(SUMPRODUCT(BenRow*B14/(1+D14)^YrRow)/SUMPRODUCT(CostRow*C14/(1+D14)^YrRow),0)</f>
        <v>1.11200280512295</v>
      </c>
      <c r="G14" s="70" t="n">
        <f aca="false">IFERROR(IRR(G38:AA38,0.1),"n/a")</f>
        <v>0.127458678968163</v>
      </c>
      <c r="H14" s="71" t="str">
        <f aca="false">IF(E14&gt;0,"Viable","Not viable")</f>
        <v>Viable</v>
      </c>
    </row>
    <row r="16" customFormat="false" ht="15" hidden="false" customHeight="false" outlineLevel="0" collapsed="false">
      <c r="A16" s="59" t="s">
        <v>169</v>
      </c>
    </row>
    <row r="17" customFormat="false" ht="15" hidden="false" customHeight="false" outlineLevel="0" collapsed="false">
      <c r="A17" s="7" t="s">
        <v>170</v>
      </c>
      <c r="E17" s="74" t="n">
        <f aca="false">IFERROR(NPV/PVC,0)</f>
        <v>0.359114539594713</v>
      </c>
    </row>
    <row r="18" customFormat="false" ht="15" hidden="false" customHeight="false" outlineLevel="0" collapsed="false">
      <c r="A18" s="7" t="s">
        <v>171</v>
      </c>
      <c r="E18" s="74" t="n">
        <f aca="false">IFERROR(NPV/PVB,0)</f>
        <v>0.264226839705357</v>
      </c>
    </row>
    <row r="19" customFormat="false" ht="15" hidden="false" customHeight="false" outlineLevel="0" collapsed="false">
      <c r="A19" s="26" t="s">
        <v>172</v>
      </c>
    </row>
    <row r="21" customFormat="false" ht="15" hidden="false" customHeight="false" outlineLevel="0" collapsed="false">
      <c r="A21" s="59" t="s">
        <v>173</v>
      </c>
    </row>
    <row r="22" customFormat="false" ht="15" hidden="false" customHeight="false" outlineLevel="0" collapsed="false">
      <c r="A22" s="13" t="s">
        <v>155</v>
      </c>
      <c r="E22" s="25" t="s">
        <v>156</v>
      </c>
    </row>
    <row r="23" customFormat="false" ht="15" hidden="false" customHeight="false" outlineLevel="0" collapsed="false">
      <c r="A23" s="21" t="n">
        <v>0.02</v>
      </c>
      <c r="E23" s="75" t="n">
        <f aca="false">SUMPRODUCT((BenRow-CostRow)/(1+A23)^YrRow)</f>
        <v>1631994.98313839</v>
      </c>
    </row>
    <row r="24" customFormat="false" ht="15" hidden="false" customHeight="false" outlineLevel="0" collapsed="false">
      <c r="A24" s="21" t="n">
        <v>0.05</v>
      </c>
      <c r="E24" s="75" t="n">
        <f aca="false">SUMPRODUCT((BenRow-CostRow)/(1+A24)^YrRow)</f>
        <v>1096478.94151908</v>
      </c>
    </row>
    <row r="25" customFormat="false" ht="15" hidden="false" customHeight="false" outlineLevel="0" collapsed="false">
      <c r="A25" s="21" t="n">
        <v>0.08</v>
      </c>
      <c r="E25" s="75" t="n">
        <f aca="false">SUMPRODUCT((BenRow-CostRow)/(1+A25)^YrRow)</f>
        <v>710906.85439341</v>
      </c>
    </row>
    <row r="26" customFormat="false" ht="15" hidden="false" customHeight="false" outlineLevel="0" collapsed="false">
      <c r="A26" s="21" t="n">
        <v>0.11</v>
      </c>
      <c r="E26" s="75" t="n">
        <f aca="false">SUMPRODUCT((BenRow-CostRow)/(1+A26)^YrRow)</f>
        <v>427800.542347932</v>
      </c>
    </row>
    <row r="27" customFormat="false" ht="15" hidden="false" customHeight="false" outlineLevel="0" collapsed="false">
      <c r="A27" s="21" t="n">
        <v>0.14</v>
      </c>
      <c r="E27" s="75" t="n">
        <f aca="false">SUMPRODUCT((BenRow-CostRow)/(1+A27)^YrRow)</f>
        <v>216024.313478823</v>
      </c>
    </row>
    <row r="28" customFormat="false" ht="15" hidden="false" customHeight="false" outlineLevel="0" collapsed="false">
      <c r="A28" s="21" t="n">
        <v>0.17</v>
      </c>
      <c r="E28" s="75" t="n">
        <f aca="false">SUMPRODUCT((BenRow-CostRow)/(1+A28)^YrRow)</f>
        <v>54796.1311434437</v>
      </c>
    </row>
    <row r="29" customFormat="false" ht="15" hidden="false" customHeight="false" outlineLevel="0" collapsed="false">
      <c r="A29" s="76" t="s">
        <v>174</v>
      </c>
    </row>
    <row r="30" customFormat="false" ht="15" hidden="false" customHeight="false" outlineLevel="0" collapsed="false">
      <c r="A30" s="77" t="str">
        <f aca="false">A6</f>
        <v>Base case</v>
      </c>
      <c r="G30" s="78" t="n">
        <f aca="false">Results!G11*$B6-Results!G12*$C6</f>
        <v>-680000</v>
      </c>
      <c r="H30" s="78" t="n">
        <f aca="false">Results!H11*$B6-Results!H12*$C6</f>
        <v>-147000</v>
      </c>
      <c r="I30" s="78" t="n">
        <f aca="false">Results!I11*$B6-Results!I12*$C6</f>
        <v>174380</v>
      </c>
      <c r="J30" s="78" t="n">
        <f aca="false">Results!J11*$B6-Results!J12*$C6</f>
        <v>179006.8</v>
      </c>
      <c r="K30" s="78" t="n">
        <f aca="false">Results!K11*$B6-Results!K12*$C6</f>
        <v>183745.888</v>
      </c>
      <c r="L30" s="78" t="n">
        <f aca="false">Results!L11*$B6-Results!L12*$C6</f>
        <v>188600.07808</v>
      </c>
      <c r="M30" s="78" t="n">
        <f aca="false">Results!M11*$B6-Results!M12*$C6</f>
        <v>193572.2574088</v>
      </c>
      <c r="N30" s="78" t="n">
        <f aca="false">Results!N11*$B6-Results!N12*$C6</f>
        <v>198665.388207568</v>
      </c>
      <c r="O30" s="78" t="n">
        <f aca="false">Results!O11*$B6-Results!O12*$C6</f>
        <v>123882.509767709</v>
      </c>
      <c r="P30" s="78" t="n">
        <f aca="false">Results!P11*$B6-Results!P12*$C6</f>
        <v>217226.740524571</v>
      </c>
      <c r="Q30" s="78" t="n">
        <f aca="false">Results!Q11*$B6-Results!Q12*$C6</f>
        <v>214701.28018857</v>
      </c>
      <c r="R30" s="78" t="n">
        <f aca="false">Results!R11*$B6-Results!R12*$C6</f>
        <v>220309.411935361</v>
      </c>
      <c r="S30" s="78" t="n">
        <f aca="false">Results!S11*$B6-Results!S12*$C6</f>
        <v>226054.504656724</v>
      </c>
      <c r="T30" s="78" t="n">
        <f aca="false">Results!T11*$B6-Results!T12*$C6</f>
        <v>231940.015273893</v>
      </c>
      <c r="U30" s="78" t="n">
        <f aca="false">Results!U11*$B6-Results!U12*$C6</f>
        <v>237969.491115095</v>
      </c>
      <c r="V30" s="78" t="n">
        <f aca="false">Results!V11*$B6-Results!V12*$C6</f>
        <v>344146.57235912</v>
      </c>
      <c r="W30" s="78" t="n">
        <f aca="false">Results!W11*$B6-Results!W12*$C6</f>
        <v>0</v>
      </c>
      <c r="X30" s="78" t="n">
        <f aca="false">Results!X11*$B6-Results!X12*$C6</f>
        <v>0</v>
      </c>
      <c r="Y30" s="78" t="n">
        <f aca="false">Results!Y11*$B6-Results!Y12*$C6</f>
        <v>0</v>
      </c>
      <c r="Z30" s="78" t="n">
        <f aca="false">Results!Z11*$B6-Results!Z12*$C6</f>
        <v>0</v>
      </c>
      <c r="AA30" s="78" t="n">
        <f aca="false">Results!AA11*$B6-Results!AA12*$C6</f>
        <v>0</v>
      </c>
    </row>
    <row r="31" customFormat="false" ht="15" hidden="false" customHeight="false" outlineLevel="0" collapsed="false">
      <c r="A31" s="77" t="str">
        <f aca="false">A7</f>
        <v>Costs higher (+ step)</v>
      </c>
      <c r="G31" s="78" t="n">
        <f aca="false">Results!G11*$B7-Results!G12*$C7</f>
        <v>-816000</v>
      </c>
      <c r="H31" s="78" t="n">
        <f aca="false">Results!H11*$B7-Results!H12*$C7</f>
        <v>-193400</v>
      </c>
      <c r="I31" s="78" t="n">
        <f aca="false">Results!I11*$B7-Results!I12*$C7</f>
        <v>159896</v>
      </c>
      <c r="J31" s="78" t="n">
        <f aca="false">Results!J11*$B7-Results!J12*$C7</f>
        <v>164437.36</v>
      </c>
      <c r="K31" s="78" t="n">
        <f aca="false">Results!K11*$B7-Results!K12*$C7</f>
        <v>169089.5416</v>
      </c>
      <c r="L31" s="78" t="n">
        <f aca="false">Results!L11*$B7-Results!L12*$C7</f>
        <v>173855.331976</v>
      </c>
      <c r="M31" s="78" t="n">
        <f aca="false">Results!M11*$B7-Results!M12*$C7</f>
        <v>178737.59087896</v>
      </c>
      <c r="N31" s="78" t="n">
        <f aca="false">Results!N11*$B7-Results!N12*$C7</f>
        <v>183739.252588334</v>
      </c>
      <c r="O31" s="78" t="n">
        <f aca="false">Results!O11*$B7-Results!O12*$C7</f>
        <v>92863.3279197043</v>
      </c>
      <c r="P31" s="78" t="n">
        <f aca="false">Results!P11*$B7-Results!P12*$C7</f>
        <v>202112.906288057</v>
      </c>
      <c r="Q31" s="78" t="n">
        <f aca="false">Results!Q11*$B7-Results!Q12*$C7</f>
        <v>199491.157828261</v>
      </c>
      <c r="R31" s="78" t="n">
        <f aca="false">Results!R11*$B7-Results!R12*$C7</f>
        <v>205001.33557439</v>
      </c>
      <c r="S31" s="78" t="n">
        <f aca="false">Results!S11*$B7-Results!S12*$C7</f>
        <v>210646.777699544</v>
      </c>
      <c r="T31" s="78" t="n">
        <f aca="false">Results!T11*$B7-Results!T12*$C7</f>
        <v>216430.909817889</v>
      </c>
      <c r="U31" s="78" t="n">
        <f aca="false">Results!U11*$B7-Results!U12*$C7</f>
        <v>222357.247350693</v>
      </c>
      <c r="V31" s="78" t="n">
        <f aca="false">Results!V11*$B7-Results!V12*$C7</f>
        <v>328429.397958161</v>
      </c>
      <c r="W31" s="78" t="n">
        <f aca="false">Results!W11*$B7-Results!W12*$C7</f>
        <v>0</v>
      </c>
      <c r="X31" s="78" t="n">
        <f aca="false">Results!X11*$B7-Results!X12*$C7</f>
        <v>0</v>
      </c>
      <c r="Y31" s="78" t="n">
        <f aca="false">Results!Y11*$B7-Results!Y12*$C7</f>
        <v>0</v>
      </c>
      <c r="Z31" s="78" t="n">
        <f aca="false">Results!Z11*$B7-Results!Z12*$C7</f>
        <v>0</v>
      </c>
      <c r="AA31" s="78" t="n">
        <f aca="false">Results!AA11*$B7-Results!AA12*$C7</f>
        <v>0</v>
      </c>
    </row>
    <row r="32" customFormat="false" ht="15" hidden="false" customHeight="false" outlineLevel="0" collapsed="false">
      <c r="A32" s="77" t="str">
        <f aca="false">A8</f>
        <v>Costs lower (– step)</v>
      </c>
      <c r="G32" s="78" t="n">
        <f aca="false">Results!G11*$B8-Results!G12*$C8</f>
        <v>-544000</v>
      </c>
      <c r="H32" s="78" t="n">
        <f aca="false">Results!H11*$B8-Results!H12*$C8</f>
        <v>-100600</v>
      </c>
      <c r="I32" s="78" t="n">
        <f aca="false">Results!I11*$B8-Results!I12*$C8</f>
        <v>188864</v>
      </c>
      <c r="J32" s="78" t="n">
        <f aca="false">Results!J11*$B8-Results!J12*$C8</f>
        <v>193576.24</v>
      </c>
      <c r="K32" s="78" t="n">
        <f aca="false">Results!K11*$B8-Results!K12*$C8</f>
        <v>198402.2344</v>
      </c>
      <c r="L32" s="78" t="n">
        <f aca="false">Results!L11*$B8-Results!L12*$C8</f>
        <v>203344.824184</v>
      </c>
      <c r="M32" s="78" t="n">
        <f aca="false">Results!M11*$B8-Results!M12*$C8</f>
        <v>208406.92393864</v>
      </c>
      <c r="N32" s="78" t="n">
        <f aca="false">Results!N11*$B8-Results!N12*$C8</f>
        <v>213591.523826802</v>
      </c>
      <c r="O32" s="78" t="n">
        <f aca="false">Results!O11*$B8-Results!O12*$C8</f>
        <v>154901.691615714</v>
      </c>
      <c r="P32" s="78" t="n">
        <f aca="false">Results!P11*$B8-Results!P12*$C8</f>
        <v>232340.574761085</v>
      </c>
      <c r="Q32" s="78" t="n">
        <f aca="false">Results!Q11*$B8-Results!Q12*$C8</f>
        <v>229911.40254888</v>
      </c>
      <c r="R32" s="78" t="n">
        <f aca="false">Results!R11*$B8-Results!R12*$C8</f>
        <v>235617.488296332</v>
      </c>
      <c r="S32" s="78" t="n">
        <f aca="false">Results!S11*$B8-Results!S12*$C8</f>
        <v>241462.231613905</v>
      </c>
      <c r="T32" s="78" t="n">
        <f aca="false">Results!T11*$B8-Results!T12*$C8</f>
        <v>247449.120729898</v>
      </c>
      <c r="U32" s="78" t="n">
        <f aca="false">Results!U11*$B8-Results!U12*$C8</f>
        <v>253581.734879496</v>
      </c>
      <c r="V32" s="78" t="n">
        <f aca="false">Results!V11*$B8-Results!V12*$C8</f>
        <v>359863.746760079</v>
      </c>
      <c r="W32" s="78" t="n">
        <f aca="false">Results!W11*$B8-Results!W12*$C8</f>
        <v>0</v>
      </c>
      <c r="X32" s="78" t="n">
        <f aca="false">Results!X11*$B8-Results!X12*$C8</f>
        <v>0</v>
      </c>
      <c r="Y32" s="78" t="n">
        <f aca="false">Results!Y11*$B8-Results!Y12*$C8</f>
        <v>0</v>
      </c>
      <c r="Z32" s="78" t="n">
        <f aca="false">Results!Z11*$B8-Results!Z12*$C8</f>
        <v>0</v>
      </c>
      <c r="AA32" s="78" t="n">
        <f aca="false">Results!AA11*$B8-Results!AA12*$C8</f>
        <v>0</v>
      </c>
    </row>
    <row r="33" customFormat="false" ht="15" hidden="false" customHeight="false" outlineLevel="0" collapsed="false">
      <c r="A33" s="77" t="str">
        <f aca="false">A9</f>
        <v>Benefits lower (– step)</v>
      </c>
      <c r="G33" s="78" t="n">
        <f aca="false">Results!G11*$B9-Results!G12*$C9</f>
        <v>-680000</v>
      </c>
      <c r="H33" s="78" t="n">
        <f aca="false">Results!H11*$B9-Results!H12*$C9</f>
        <v>-164000</v>
      </c>
      <c r="I33" s="78" t="n">
        <f aca="false">Results!I11*$B9-Results!I12*$C9</f>
        <v>125020</v>
      </c>
      <c r="J33" s="78" t="n">
        <f aca="false">Results!J11*$B9-Results!J12*$C9</f>
        <v>128636</v>
      </c>
      <c r="K33" s="78" t="n">
        <f aca="false">Results!K11*$B9-Results!K12*$C9</f>
        <v>132340.364</v>
      </c>
      <c r="L33" s="78" t="n">
        <f aca="false">Results!L11*$B9-Results!L12*$C9</f>
        <v>136135.31636</v>
      </c>
      <c r="M33" s="78" t="n">
        <f aca="false">Results!M11*$B9-Results!M12*$C9</f>
        <v>140023.1393972</v>
      </c>
      <c r="N33" s="78" t="n">
        <f aca="false">Results!N11*$B9-Results!N12*$C9</f>
        <v>144006.17494682</v>
      </c>
      <c r="O33" s="78" t="n">
        <f aca="false">Results!O11*$B9-Results!O12*$C9</f>
        <v>68086.8259661625</v>
      </c>
      <c r="P33" s="78" t="n">
        <f aca="false">Results!P11*$B9-Results!P12*$C9</f>
        <v>158667.558183142</v>
      </c>
      <c r="Q33" s="78" t="n">
        <f aca="false">Results!Q11*$B9-Results!Q12*$C9</f>
        <v>156550.901790547</v>
      </c>
      <c r="R33" s="78" t="n">
        <f aca="false">Results!R11*$B9-Results!R12*$C9</f>
        <v>160939.453187318</v>
      </c>
      <c r="S33" s="78" t="n">
        <f aca="false">Results!S11*$B9-Results!S12*$C9</f>
        <v>165435.876768199</v>
      </c>
      <c r="T33" s="78" t="n">
        <f aca="false">Results!T11*$B9-Results!T12*$C9</f>
        <v>170042.90676311</v>
      </c>
      <c r="U33" s="78" t="n">
        <f aca="false">Results!U11*$B9-Results!U12*$C9</f>
        <v>174763.349127675</v>
      </c>
      <c r="V33" s="78" t="n">
        <f aca="false">Results!V11*$B9-Results!V12*$C9</f>
        <v>259600.083486337</v>
      </c>
      <c r="W33" s="78" t="n">
        <f aca="false">Results!W11*$B9-Results!W12*$C9</f>
        <v>0</v>
      </c>
      <c r="X33" s="78" t="n">
        <f aca="false">Results!X11*$B9-Results!X12*$C9</f>
        <v>0</v>
      </c>
      <c r="Y33" s="78" t="n">
        <f aca="false">Results!Y11*$B9-Results!Y12*$C9</f>
        <v>0</v>
      </c>
      <c r="Z33" s="78" t="n">
        <f aca="false">Results!Z11*$B9-Results!Z12*$C9</f>
        <v>0</v>
      </c>
      <c r="AA33" s="78" t="n">
        <f aca="false">Results!AA11*$B9-Results!AA12*$C9</f>
        <v>0</v>
      </c>
    </row>
    <row r="34" customFormat="false" ht="15" hidden="false" customHeight="false" outlineLevel="0" collapsed="false">
      <c r="A34" s="77" t="str">
        <f aca="false">A10</f>
        <v>Benefits higher (+ step)</v>
      </c>
      <c r="G34" s="78" t="n">
        <f aca="false">Results!G11*$B10-Results!G12*$C10</f>
        <v>-680000</v>
      </c>
      <c r="H34" s="78" t="n">
        <f aca="false">Results!H11*$B10-Results!H12*$C10</f>
        <v>-130000</v>
      </c>
      <c r="I34" s="78" t="n">
        <f aca="false">Results!I11*$B10-Results!I12*$C10</f>
        <v>223740</v>
      </c>
      <c r="J34" s="78" t="n">
        <f aca="false">Results!J11*$B10-Results!J12*$C10</f>
        <v>229377.6</v>
      </c>
      <c r="K34" s="78" t="n">
        <f aca="false">Results!K11*$B10-Results!K12*$C10</f>
        <v>235151.412</v>
      </c>
      <c r="L34" s="78" t="n">
        <f aca="false">Results!L11*$B10-Results!L12*$C10</f>
        <v>241064.8398</v>
      </c>
      <c r="M34" s="78" t="n">
        <f aca="false">Results!M11*$B10-Results!M12*$C10</f>
        <v>247121.3754204</v>
      </c>
      <c r="N34" s="78" t="n">
        <f aca="false">Results!N11*$B10-Results!N12*$C10</f>
        <v>253324.601468316</v>
      </c>
      <c r="O34" s="78" t="n">
        <f aca="false">Results!O11*$B10-Results!O12*$C10</f>
        <v>179678.193569255</v>
      </c>
      <c r="P34" s="78" t="n">
        <f aca="false">Results!P11*$B10-Results!P12*$C10</f>
        <v>275785.922865999</v>
      </c>
      <c r="Q34" s="78" t="n">
        <f aca="false">Results!Q11*$B10-Results!Q12*$C10</f>
        <v>272851.658586594</v>
      </c>
      <c r="R34" s="78" t="n">
        <f aca="false">Results!R11*$B10-Results!R12*$C10</f>
        <v>279679.370683405</v>
      </c>
      <c r="S34" s="78" t="n">
        <f aca="false">Results!S11*$B10-Results!S12*$C10</f>
        <v>286673.13254525</v>
      </c>
      <c r="T34" s="78" t="n">
        <f aca="false">Results!T11*$B10-Results!T12*$C10</f>
        <v>293837.123784676</v>
      </c>
      <c r="U34" s="78" t="n">
        <f aca="false">Results!U11*$B10-Results!U12*$C10</f>
        <v>301175.633102515</v>
      </c>
      <c r="V34" s="78" t="n">
        <f aca="false">Results!V11*$B10-Results!V12*$C10</f>
        <v>428693.061231902</v>
      </c>
      <c r="W34" s="78" t="n">
        <f aca="false">Results!W11*$B10-Results!W12*$C10</f>
        <v>0</v>
      </c>
      <c r="X34" s="78" t="n">
        <f aca="false">Results!X11*$B10-Results!X12*$C10</f>
        <v>0</v>
      </c>
      <c r="Y34" s="78" t="n">
        <f aca="false">Results!Y11*$B10-Results!Y12*$C10</f>
        <v>0</v>
      </c>
      <c r="Z34" s="78" t="n">
        <f aca="false">Results!Z11*$B10-Results!Z12*$C10</f>
        <v>0</v>
      </c>
      <c r="AA34" s="78" t="n">
        <f aca="false">Results!AA11*$B10-Results!AA12*$C10</f>
        <v>0</v>
      </c>
    </row>
    <row r="35" customFormat="false" ht="15" hidden="false" customHeight="false" outlineLevel="0" collapsed="false">
      <c r="A35" s="77" t="str">
        <f aca="false">A11</f>
        <v>Worst case (costs +, benefits –)</v>
      </c>
      <c r="G35" s="78" t="n">
        <f aca="false">Results!G11*$B11-Results!G12*$C11</f>
        <v>-816000</v>
      </c>
      <c r="H35" s="78" t="n">
        <f aca="false">Results!H11*$B11-Results!H12*$C11</f>
        <v>-210400</v>
      </c>
      <c r="I35" s="78" t="n">
        <f aca="false">Results!I11*$B11-Results!I12*$C11</f>
        <v>110536</v>
      </c>
      <c r="J35" s="78" t="n">
        <f aca="false">Results!J11*$B11-Results!J12*$C11</f>
        <v>114066.56</v>
      </c>
      <c r="K35" s="78" t="n">
        <f aca="false">Results!K11*$B11-Results!K12*$C11</f>
        <v>117684.0176</v>
      </c>
      <c r="L35" s="78" t="n">
        <f aca="false">Results!L11*$B11-Results!L12*$C11</f>
        <v>121390.570256</v>
      </c>
      <c r="M35" s="78" t="n">
        <f aca="false">Results!M11*$B11-Results!M12*$C11</f>
        <v>125188.47286736</v>
      </c>
      <c r="N35" s="78" t="n">
        <f aca="false">Results!N11*$B11-Results!N12*$C11</f>
        <v>129080.039327586</v>
      </c>
      <c r="O35" s="78" t="n">
        <f aca="false">Results!O11*$B11-Results!O12*$C11</f>
        <v>37067.6441181578</v>
      </c>
      <c r="P35" s="78" t="n">
        <f aca="false">Results!P11*$B11-Results!P12*$C11</f>
        <v>143553.723946628</v>
      </c>
      <c r="Q35" s="78" t="n">
        <f aca="false">Results!Q11*$B11-Results!Q12*$C11</f>
        <v>141340.779430237</v>
      </c>
      <c r="R35" s="78" t="n">
        <f aca="false">Results!R11*$B11-Results!R12*$C11</f>
        <v>145631.376826347</v>
      </c>
      <c r="S35" s="78" t="n">
        <f aca="false">Results!S11*$B11-Results!S12*$C11</f>
        <v>150028.149811018</v>
      </c>
      <c r="T35" s="78" t="n">
        <f aca="false">Results!T11*$B11-Results!T12*$C11</f>
        <v>154533.801307106</v>
      </c>
      <c r="U35" s="78" t="n">
        <f aca="false">Results!U11*$B11-Results!U12*$C11</f>
        <v>159151.105363273</v>
      </c>
      <c r="V35" s="78" t="n">
        <f aca="false">Results!V11*$B11-Results!V12*$C11</f>
        <v>243882.909085378</v>
      </c>
      <c r="W35" s="78" t="n">
        <f aca="false">Results!W11*$B11-Results!W12*$C11</f>
        <v>0</v>
      </c>
      <c r="X35" s="78" t="n">
        <f aca="false">Results!X11*$B11-Results!X12*$C11</f>
        <v>0</v>
      </c>
      <c r="Y35" s="78" t="n">
        <f aca="false">Results!Y11*$B11-Results!Y12*$C11</f>
        <v>0</v>
      </c>
      <c r="Z35" s="78" t="n">
        <f aca="false">Results!Z11*$B11-Results!Z12*$C11</f>
        <v>0</v>
      </c>
      <c r="AA35" s="78" t="n">
        <f aca="false">Results!AA11*$B11-Results!AA12*$C11</f>
        <v>0</v>
      </c>
    </row>
    <row r="36" customFormat="false" ht="15" hidden="false" customHeight="false" outlineLevel="0" collapsed="false">
      <c r="A36" s="77" t="str">
        <f aca="false">A12</f>
        <v>Low discount rate</v>
      </c>
      <c r="G36" s="78" t="n">
        <f aca="false">Results!G11*$B12-Results!G12*$C12</f>
        <v>-680000</v>
      </c>
      <c r="H36" s="78" t="n">
        <f aca="false">Results!H11*$B12-Results!H12*$C12</f>
        <v>-147000</v>
      </c>
      <c r="I36" s="78" t="n">
        <f aca="false">Results!I11*$B12-Results!I12*$C12</f>
        <v>174380</v>
      </c>
      <c r="J36" s="78" t="n">
        <f aca="false">Results!J11*$B12-Results!J12*$C12</f>
        <v>179006.8</v>
      </c>
      <c r="K36" s="78" t="n">
        <f aca="false">Results!K11*$B12-Results!K12*$C12</f>
        <v>183745.888</v>
      </c>
      <c r="L36" s="78" t="n">
        <f aca="false">Results!L11*$B12-Results!L12*$C12</f>
        <v>188600.07808</v>
      </c>
      <c r="M36" s="78" t="n">
        <f aca="false">Results!M11*$B12-Results!M12*$C12</f>
        <v>193572.2574088</v>
      </c>
      <c r="N36" s="78" t="n">
        <f aca="false">Results!N11*$B12-Results!N12*$C12</f>
        <v>198665.388207568</v>
      </c>
      <c r="O36" s="78" t="n">
        <f aca="false">Results!O11*$B12-Results!O12*$C12</f>
        <v>123882.509767709</v>
      </c>
      <c r="P36" s="78" t="n">
        <f aca="false">Results!P11*$B12-Results!P12*$C12</f>
        <v>217226.740524571</v>
      </c>
      <c r="Q36" s="78" t="n">
        <f aca="false">Results!Q11*$B12-Results!Q12*$C12</f>
        <v>214701.28018857</v>
      </c>
      <c r="R36" s="78" t="n">
        <f aca="false">Results!R11*$B12-Results!R12*$C12</f>
        <v>220309.411935361</v>
      </c>
      <c r="S36" s="78" t="n">
        <f aca="false">Results!S11*$B12-Results!S12*$C12</f>
        <v>226054.504656724</v>
      </c>
      <c r="T36" s="78" t="n">
        <f aca="false">Results!T11*$B12-Results!T12*$C12</f>
        <v>231940.015273893</v>
      </c>
      <c r="U36" s="78" t="n">
        <f aca="false">Results!U11*$B12-Results!U12*$C12</f>
        <v>237969.491115095</v>
      </c>
      <c r="V36" s="78" t="n">
        <f aca="false">Results!V11*$B12-Results!V12*$C12</f>
        <v>344146.57235912</v>
      </c>
      <c r="W36" s="78" t="n">
        <f aca="false">Results!W11*$B12-Results!W12*$C12</f>
        <v>0</v>
      </c>
      <c r="X36" s="78" t="n">
        <f aca="false">Results!X11*$B12-Results!X12*$C12</f>
        <v>0</v>
      </c>
      <c r="Y36" s="78" t="n">
        <f aca="false">Results!Y11*$B12-Results!Y12*$C12</f>
        <v>0</v>
      </c>
      <c r="Z36" s="78" t="n">
        <f aca="false">Results!Z11*$B12-Results!Z12*$C12</f>
        <v>0</v>
      </c>
      <c r="AA36" s="78" t="n">
        <f aca="false">Results!AA11*$B12-Results!AA12*$C12</f>
        <v>0</v>
      </c>
    </row>
    <row r="37" customFormat="false" ht="15" hidden="false" customHeight="false" outlineLevel="0" collapsed="false">
      <c r="A37" s="77" t="str">
        <f aca="false">A13</f>
        <v>High discount rate</v>
      </c>
      <c r="G37" s="78" t="n">
        <f aca="false">Results!G11*$B13-Results!G12*$C13</f>
        <v>-680000</v>
      </c>
      <c r="H37" s="78" t="n">
        <f aca="false">Results!H11*$B13-Results!H12*$C13</f>
        <v>-147000</v>
      </c>
      <c r="I37" s="78" t="n">
        <f aca="false">Results!I11*$B13-Results!I12*$C13</f>
        <v>174380</v>
      </c>
      <c r="J37" s="78" t="n">
        <f aca="false">Results!J11*$B13-Results!J12*$C13</f>
        <v>179006.8</v>
      </c>
      <c r="K37" s="78" t="n">
        <f aca="false">Results!K11*$B13-Results!K12*$C13</f>
        <v>183745.888</v>
      </c>
      <c r="L37" s="78" t="n">
        <f aca="false">Results!L11*$B13-Results!L12*$C13</f>
        <v>188600.07808</v>
      </c>
      <c r="M37" s="78" t="n">
        <f aca="false">Results!M11*$B13-Results!M12*$C13</f>
        <v>193572.2574088</v>
      </c>
      <c r="N37" s="78" t="n">
        <f aca="false">Results!N11*$B13-Results!N12*$C13</f>
        <v>198665.388207568</v>
      </c>
      <c r="O37" s="78" t="n">
        <f aca="false">Results!O11*$B13-Results!O12*$C13</f>
        <v>123882.509767709</v>
      </c>
      <c r="P37" s="78" t="n">
        <f aca="false">Results!P11*$B13-Results!P12*$C13</f>
        <v>217226.740524571</v>
      </c>
      <c r="Q37" s="78" t="n">
        <f aca="false">Results!Q11*$B13-Results!Q12*$C13</f>
        <v>214701.28018857</v>
      </c>
      <c r="R37" s="78" t="n">
        <f aca="false">Results!R11*$B13-Results!R12*$C13</f>
        <v>220309.411935361</v>
      </c>
      <c r="S37" s="78" t="n">
        <f aca="false">Results!S11*$B13-Results!S12*$C13</f>
        <v>226054.504656724</v>
      </c>
      <c r="T37" s="78" t="n">
        <f aca="false">Results!T11*$B13-Results!T12*$C13</f>
        <v>231940.015273893</v>
      </c>
      <c r="U37" s="78" t="n">
        <f aca="false">Results!U11*$B13-Results!U12*$C13</f>
        <v>237969.491115095</v>
      </c>
      <c r="V37" s="78" t="n">
        <f aca="false">Results!V11*$B13-Results!V12*$C13</f>
        <v>344146.57235912</v>
      </c>
      <c r="W37" s="78" t="n">
        <f aca="false">Results!W11*$B13-Results!W12*$C13</f>
        <v>0</v>
      </c>
      <c r="X37" s="78" t="n">
        <f aca="false">Results!X11*$B13-Results!X12*$C13</f>
        <v>0</v>
      </c>
      <c r="Y37" s="78" t="n">
        <f aca="false">Results!Y11*$B13-Results!Y12*$C13</f>
        <v>0</v>
      </c>
      <c r="Z37" s="78" t="n">
        <f aca="false">Results!Z11*$B13-Results!Z12*$C13</f>
        <v>0</v>
      </c>
      <c r="AA37" s="78" t="n">
        <f aca="false">Results!AA11*$B13-Results!AA12*$C13</f>
        <v>0</v>
      </c>
    </row>
    <row r="38" customFormat="false" ht="15" hidden="false" customHeight="false" outlineLevel="0" collapsed="false">
      <c r="A38" s="77" t="str">
        <f aca="false">A14</f>
        <v>[Custom scenario]</v>
      </c>
      <c r="G38" s="78" t="n">
        <f aca="false">Results!G11*$B14-Results!G12*$C14</f>
        <v>-748000</v>
      </c>
      <c r="H38" s="78" t="n">
        <f aca="false">Results!H11*$B14-Results!H12*$C14</f>
        <v>-178700</v>
      </c>
      <c r="I38" s="78" t="n">
        <f aca="false">Results!I11*$B14-Results!I12*$C14</f>
        <v>142458</v>
      </c>
      <c r="J38" s="78" t="n">
        <f aca="false">Results!J11*$B14-Results!J12*$C14</f>
        <v>146536.68</v>
      </c>
      <c r="K38" s="78" t="n">
        <f aca="false">Results!K11*$B14-Results!K12*$C14</f>
        <v>150714.9528</v>
      </c>
      <c r="L38" s="78" t="n">
        <f aca="false">Results!L11*$B14-Results!L12*$C14</f>
        <v>154995.324168</v>
      </c>
      <c r="M38" s="78" t="n">
        <f aca="false">Results!M11*$B14-Results!M12*$C14</f>
        <v>159380.36513808</v>
      </c>
      <c r="N38" s="78" t="n">
        <f aca="false">Results!N11*$B14-Results!N12*$C14</f>
        <v>163872.713767577</v>
      </c>
      <c r="O38" s="78" t="n">
        <f aca="false">Results!O11*$B14-Results!O12*$C14</f>
        <v>80475.0769429333</v>
      </c>
      <c r="P38" s="78" t="n">
        <f aca="false">Results!P11*$B14-Results!P12*$C14</f>
        <v>180390.2322356</v>
      </c>
      <c r="Q38" s="78" t="n">
        <f aca="false">Results!Q11*$B14-Results!Q12*$C14</f>
        <v>178021.029809404</v>
      </c>
      <c r="R38" s="78" t="n">
        <f aca="false">Results!R11*$B14-Results!R12*$C14</f>
        <v>182970.394380854</v>
      </c>
      <c r="S38" s="78" t="n">
        <f aca="false">Results!S11*$B14-Results!S12*$C14</f>
        <v>188041.327233871</v>
      </c>
      <c r="T38" s="78" t="n">
        <f aca="false">Results!T11*$B14-Results!T12*$C14</f>
        <v>193236.9082905</v>
      </c>
      <c r="U38" s="78" t="n">
        <f aca="false">Results!U11*$B14-Results!U12*$C14</f>
        <v>198560.298239184</v>
      </c>
      <c r="V38" s="78" t="n">
        <f aca="false">Results!V11*$B14-Results!V12*$C14</f>
        <v>294014.740722249</v>
      </c>
      <c r="W38" s="78" t="n">
        <f aca="false">Results!W11*$B14-Results!W12*$C14</f>
        <v>0</v>
      </c>
      <c r="X38" s="78" t="n">
        <f aca="false">Results!X11*$B14-Results!X12*$C14</f>
        <v>0</v>
      </c>
      <c r="Y38" s="78" t="n">
        <f aca="false">Results!Y11*$B14-Results!Y12*$C14</f>
        <v>0</v>
      </c>
      <c r="Z38" s="78" t="n">
        <f aca="false">Results!Z11*$B14-Results!Z12*$C14</f>
        <v>0</v>
      </c>
      <c r="AA38" s="78" t="n">
        <f aca="false">Results!AA11*$B14-Results!AA12*$C14</f>
        <v>0</v>
      </c>
    </row>
  </sheetData>
  <conditionalFormatting sqref="H6:H14">
    <cfRule type="expression" priority="2" aboveAverage="0" equalAverage="0" bottom="0" percent="0" rank="0" text="" dxfId="2">
      <formula>$H6="Viable"</formula>
    </cfRule>
    <cfRule type="expression" priority="3" aboveAverage="0" equalAverage="0" bottom="0" percent="0" rank="0" text="" dxfId="3">
      <formula>$H6="Not viable"</formula>
    </cfRule>
  </conditionalFormatting>
  <conditionalFormatting sqref="E6:E14">
    <cfRule type="cellIs" priority="4" operator="lessThan" aboveAverage="0" equalAverage="0" bottom="0" percent="0" rank="0" text="" dxfId="5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false"/>
  </sheetPr>
  <dimension ref="B1:O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4" min="4" style="0" width="3"/>
    <col collapsed="false" customWidth="true" hidden="false" outlineLevel="0" max="5" min="5" style="0" width="22"/>
    <col collapsed="false" customWidth="true" hidden="false" outlineLevel="0" max="6" min="6" style="0" width="18"/>
    <col collapsed="false" customWidth="true" hidden="false" outlineLevel="0" max="7" min="7" style="0" width="3"/>
    <col collapsed="false" customWidth="true" hidden="false" outlineLevel="0" max="8" min="8" style="0" width="22"/>
    <col collapsed="false" customWidth="true" hidden="false" outlineLevel="0" max="9" min="9" style="0" width="18"/>
    <col collapsed="false" customWidth="true" hidden="false" outlineLevel="0" max="10" min="10" style="0" width="3"/>
    <col collapsed="false" customWidth="true" hidden="false" outlineLevel="0" max="15" min="12" style="0" width="10"/>
  </cols>
  <sheetData>
    <row r="1" customFormat="false" ht="19.7" hidden="false" customHeight="false" outlineLevel="0" collapsed="false">
      <c r="B1" s="1" t="s">
        <v>175</v>
      </c>
      <c r="L1" s="76" t="s">
        <v>176</v>
      </c>
    </row>
    <row r="2" customFormat="false" ht="15" hidden="false" customHeight="false" outlineLevel="0" collapsed="false">
      <c r="B2" s="79" t="str">
        <f aca="false">ProjName</f>
        <v>[Community Water Supply Scheme – Option A]</v>
      </c>
      <c r="L2" s="80" t="s">
        <v>122</v>
      </c>
      <c r="M2" s="80" t="s">
        <v>125</v>
      </c>
      <c r="N2" s="80" t="s">
        <v>177</v>
      </c>
      <c r="O2" s="80" t="s">
        <v>178</v>
      </c>
    </row>
    <row r="3" customFormat="false" ht="15" hidden="false" customHeight="false" outlineLevel="0" collapsed="false">
      <c r="B3" s="81" t="str">
        <f aca="false">"Prepared by "&amp;Analyst&amp;"   |   "&amp;Currency&amp;", constant prices   |   Discount rate "&amp;TEXT(Rate,"0.0%")&amp;"   |   "&amp;Period&amp;" years from "&amp;Year0</f>
        <v>Prepared by [Name]   |   GHS, constant prices   |   Discount rate 10.0%   |   15 years from 2027</v>
      </c>
      <c r="L3" s="82" t="n">
        <f aca="false">Results!G6</f>
        <v>2027</v>
      </c>
      <c r="M3" s="83" t="n">
        <f aca="false">Results!G11</f>
        <v>0</v>
      </c>
      <c r="N3" s="83" t="n">
        <f aca="false">Results!G12</f>
        <v>680000</v>
      </c>
      <c r="O3" s="83" t="n">
        <f aca="false">Results!G20</f>
        <v>-680000</v>
      </c>
    </row>
    <row r="4" customFormat="false" ht="15" hidden="false" customHeight="false" outlineLevel="0" collapsed="false">
      <c r="L4" s="82" t="n">
        <f aca="false">Results!H6</f>
        <v>2028</v>
      </c>
      <c r="M4" s="83" t="n">
        <f aca="false">Results!H11</f>
        <v>85000</v>
      </c>
      <c r="N4" s="83" t="n">
        <f aca="false">Results!H12</f>
        <v>232000</v>
      </c>
      <c r="O4" s="83" t="n">
        <f aca="false">Results!H20</f>
        <v>-813636.363636364</v>
      </c>
    </row>
    <row r="5" customFormat="false" ht="15" hidden="false" customHeight="true" outlineLevel="0" collapsed="false">
      <c r="B5" s="84" t="s">
        <v>179</v>
      </c>
      <c r="C5" s="84"/>
      <c r="E5" s="84" t="s">
        <v>180</v>
      </c>
      <c r="F5" s="84"/>
      <c r="H5" s="84" t="s">
        <v>144</v>
      </c>
      <c r="I5" s="84"/>
      <c r="L5" s="82" t="n">
        <f aca="false">Results!I6</f>
        <v>2029</v>
      </c>
      <c r="M5" s="83" t="n">
        <f aca="false">Results!I11</f>
        <v>246800</v>
      </c>
      <c r="N5" s="83" t="n">
        <f aca="false">Results!I12</f>
        <v>72420</v>
      </c>
      <c r="O5" s="83" t="n">
        <f aca="false">Results!I20</f>
        <v>-669520.661157025</v>
      </c>
    </row>
    <row r="6" customFormat="false" ht="36" hidden="false" customHeight="true" outlineLevel="0" collapsed="false">
      <c r="B6" s="85" t="n">
        <f aca="false">NPV</f>
        <v>512964.411914386</v>
      </c>
      <c r="C6" s="85"/>
      <c r="E6" s="86" t="n">
        <f aca="false">BCR</f>
        <v>1.35911453959471</v>
      </c>
      <c r="F6" s="86"/>
      <c r="H6" s="87" t="n">
        <f aca="false">IRRv</f>
        <v>0.182266652878381</v>
      </c>
      <c r="I6" s="87"/>
      <c r="L6" s="82" t="n">
        <f aca="false">Results!J6</f>
        <v>2030</v>
      </c>
      <c r="M6" s="83" t="n">
        <f aca="false">Results!J11</f>
        <v>251854</v>
      </c>
      <c r="N6" s="83" t="n">
        <f aca="false">Results!J12</f>
        <v>72847.2</v>
      </c>
      <c r="O6" s="83" t="n">
        <f aca="false">Results!J20</f>
        <v>-535030.202854996</v>
      </c>
    </row>
    <row r="7" customFormat="false" ht="15" hidden="false" customHeight="false" outlineLevel="0" collapsed="false">
      <c r="L7" s="82" t="n">
        <f aca="false">Results!K6</f>
        <v>2031</v>
      </c>
      <c r="M7" s="83" t="n">
        <f aca="false">Results!K11</f>
        <v>257027.62</v>
      </c>
      <c r="N7" s="83" t="n">
        <f aca="false">Results!K12</f>
        <v>73281.732</v>
      </c>
      <c r="O7" s="83" t="n">
        <f aca="false">Results!K20</f>
        <v>-409529.288982993</v>
      </c>
    </row>
    <row r="8" customFormat="false" ht="15" hidden="false" customHeight="true" outlineLevel="0" collapsed="false">
      <c r="B8" s="84" t="s">
        <v>132</v>
      </c>
      <c r="C8" s="84"/>
      <c r="E8" s="84" t="s">
        <v>133</v>
      </c>
      <c r="F8" s="84"/>
      <c r="H8" s="84" t="s">
        <v>181</v>
      </c>
      <c r="I8" s="84"/>
      <c r="L8" s="82" t="n">
        <f aca="false">Results!L6</f>
        <v>2032</v>
      </c>
      <c r="M8" s="83" t="n">
        <f aca="false">Results!L11</f>
        <v>262323.8086</v>
      </c>
      <c r="N8" s="83" t="n">
        <f aca="false">Results!L12</f>
        <v>73723.73052</v>
      </c>
      <c r="O8" s="83" t="n">
        <f aca="false">Results!L20</f>
        <v>-292423.4789725</v>
      </c>
    </row>
    <row r="9" customFormat="false" ht="36" hidden="false" customHeight="true" outlineLevel="0" collapsed="false">
      <c r="B9" s="85" t="n">
        <f aca="false">PVB</f>
        <v>1941378.90187991</v>
      </c>
      <c r="C9" s="85"/>
      <c r="E9" s="85" t="n">
        <f aca="false">PVC</f>
        <v>1428414.48996553</v>
      </c>
      <c r="F9" s="85"/>
      <c r="H9" s="88" t="n">
        <f aca="false">DPayback</f>
        <v>9</v>
      </c>
      <c r="I9" s="88"/>
      <c r="L9" s="82" t="n">
        <f aca="false">Results!M6</f>
        <v>2033</v>
      </c>
      <c r="M9" s="83" t="n">
        <f aca="false">Results!M11</f>
        <v>267745.590058</v>
      </c>
      <c r="N9" s="83" t="n">
        <f aca="false">Results!M12</f>
        <v>74173.3326492</v>
      </c>
      <c r="O9" s="83" t="n">
        <f aca="false">Results!M20</f>
        <v>-183156.986083573</v>
      </c>
    </row>
    <row r="10" customFormat="false" ht="15" hidden="false" customHeight="false" outlineLevel="0" collapsed="false">
      <c r="L10" s="82" t="n">
        <f aca="false">Results!N6</f>
        <v>2034</v>
      </c>
      <c r="M10" s="83" t="n">
        <f aca="false">Results!N11</f>
        <v>273296.06630374</v>
      </c>
      <c r="N10" s="83" t="n">
        <f aca="false">Results!N12</f>
        <v>74630.678096172</v>
      </c>
      <c r="O10" s="83" t="n">
        <f aca="false">Results!N20</f>
        <v>-81210.2293134044</v>
      </c>
    </row>
    <row r="11" customFormat="false" ht="27.75" hidden="false" customHeight="true" outlineLevel="0" collapsed="false">
      <c r="B11" s="89" t="str">
        <f aca="false">Decision</f>
        <v>Economically viable – proceed</v>
      </c>
      <c r="C11" s="89"/>
      <c r="D11" s="89"/>
      <c r="E11" s="89"/>
      <c r="F11" s="89"/>
      <c r="G11" s="89"/>
      <c r="H11" s="89"/>
      <c r="I11" s="89"/>
      <c r="L11" s="82" t="n">
        <f aca="false">Results!O6</f>
        <v>2035</v>
      </c>
      <c r="M11" s="83" t="n">
        <f aca="false">Results!O11</f>
        <v>278978.419007732</v>
      </c>
      <c r="N11" s="83" t="n">
        <f aca="false">Results!O12</f>
        <v>155095.909240023</v>
      </c>
      <c r="O11" s="83" t="n">
        <f aca="false">Results!O20</f>
        <v>-23418.1242278639</v>
      </c>
    </row>
    <row r="12" customFormat="false" ht="15" hidden="false" customHeight="false" outlineLevel="0" collapsed="false">
      <c r="L12" s="82" t="n">
        <f aca="false">Results!P6</f>
        <v>2036</v>
      </c>
      <c r="M12" s="83" t="n">
        <f aca="false">Results!P11</f>
        <v>292795.911707142</v>
      </c>
      <c r="N12" s="83" t="n">
        <f aca="false">Results!P12</f>
        <v>75569.171182571</v>
      </c>
      <c r="O12" s="83" t="n">
        <f aca="false">Results!P20</f>
        <v>68707.2190754243</v>
      </c>
    </row>
    <row r="13" customFormat="false" ht="15" hidden="false" customHeight="false" outlineLevel="0" collapsed="false">
      <c r="B13" s="5" t="s">
        <v>182</v>
      </c>
      <c r="L13" s="82" t="n">
        <f aca="false">Results!Q6</f>
        <v>2037</v>
      </c>
      <c r="M13" s="83" t="n">
        <f aca="false">Results!Q11</f>
        <v>290751.891990117</v>
      </c>
      <c r="N13" s="83" t="n">
        <f aca="false">Results!Q12</f>
        <v>76050.611801547</v>
      </c>
      <c r="O13" s="83" t="n">
        <f aca="false">Results!Q20</f>
        <v>151483.856884057</v>
      </c>
    </row>
    <row r="14" customFormat="false" ht="15" hidden="false" customHeight="false" outlineLevel="0" collapsed="false">
      <c r="B14" s="90" t="s">
        <v>183</v>
      </c>
      <c r="C14" s="90"/>
      <c r="D14" s="90"/>
      <c r="E14" s="90"/>
      <c r="F14" s="91" t="n">
        <f aca="false">Sensitivity!E17</f>
        <v>0.359114539594713</v>
      </c>
      <c r="L14" s="82" t="n">
        <f aca="false">Results!R6</f>
        <v>2038</v>
      </c>
      <c r="M14" s="83" t="n">
        <f aca="false">Results!R11</f>
        <v>296849.793740217</v>
      </c>
      <c r="N14" s="83" t="n">
        <f aca="false">Results!R12</f>
        <v>76540.3818048558</v>
      </c>
      <c r="O14" s="83" t="n">
        <f aca="false">Results!R20</f>
        <v>228700.961765734</v>
      </c>
    </row>
    <row r="15" customFormat="false" ht="15" hidden="false" customHeight="false" outlineLevel="0" collapsed="false">
      <c r="B15" s="90" t="s">
        <v>184</v>
      </c>
      <c r="C15" s="90"/>
      <c r="D15" s="90"/>
      <c r="E15" s="90"/>
      <c r="F15" s="91" t="n">
        <f aca="false">Sensitivity!E18</f>
        <v>0.264226839705357</v>
      </c>
      <c r="L15" s="82" t="n">
        <f aca="false">Results!S6</f>
        <v>2039</v>
      </c>
      <c r="M15" s="83" t="n">
        <f aca="false">Results!S11</f>
        <v>303093.139442628</v>
      </c>
      <c r="N15" s="83" t="n">
        <f aca="false">Results!S12</f>
        <v>77038.6347859036</v>
      </c>
      <c r="O15" s="83" t="n">
        <f aca="false">Results!S20</f>
        <v>300728.893431616</v>
      </c>
    </row>
    <row r="16" customFormat="false" ht="15" hidden="false" customHeight="false" outlineLevel="0" collapsed="false">
      <c r="B16" s="90" t="s">
        <v>185</v>
      </c>
      <c r="C16" s="90"/>
      <c r="D16" s="90"/>
      <c r="E16" s="90"/>
      <c r="F16" s="92" t="n">
        <f aca="false">Sensitivity!E11</f>
        <v>-160994.266454701</v>
      </c>
      <c r="L16" s="82" t="n">
        <f aca="false">Results!T6</f>
        <v>2040</v>
      </c>
      <c r="M16" s="83" t="n">
        <f aca="false">Results!T11</f>
        <v>309485.542553915</v>
      </c>
      <c r="N16" s="83" t="n">
        <f aca="false">Results!T12</f>
        <v>77545.5272800218</v>
      </c>
      <c r="O16" s="83" t="n">
        <f aca="false">Results!T20</f>
        <v>367913.654092046</v>
      </c>
    </row>
    <row r="17" customFormat="false" ht="15" hidden="false" customHeight="false" outlineLevel="0" collapsed="false">
      <c r="B17" s="90" t="s">
        <v>186</v>
      </c>
      <c r="C17" s="90"/>
      <c r="D17" s="90"/>
      <c r="E17" s="90"/>
      <c r="F17" s="93" t="str">
        <f aca="false">COUNTIF(Sensitivity!H6:H14,"Viable")&amp;" of 9"</f>
        <v>8 of 9</v>
      </c>
      <c r="L17" s="82" t="n">
        <f aca="false">Results!U6</f>
        <v>2041</v>
      </c>
      <c r="M17" s="83" t="n">
        <f aca="false">Results!U11</f>
        <v>316030.709937101</v>
      </c>
      <c r="N17" s="83" t="n">
        <f aca="false">Results!U12</f>
        <v>78061.2188220064</v>
      </c>
      <c r="O17" s="83" t="n">
        <f aca="false">Results!U20</f>
        <v>430578.458673964</v>
      </c>
    </row>
    <row r="18" customFormat="false" ht="15" hidden="false" customHeight="false" outlineLevel="0" collapsed="false">
      <c r="L18" s="82" t="n">
        <f aca="false">Results!V6</f>
        <v>2042</v>
      </c>
      <c r="M18" s="83" t="n">
        <f aca="false">Results!V11</f>
        <v>422732.444363914</v>
      </c>
      <c r="N18" s="83" t="n">
        <f aca="false">Results!V12</f>
        <v>78585.8720047946</v>
      </c>
      <c r="O18" s="83" t="n">
        <f aca="false">Results!V20</f>
        <v>512964.411914386</v>
      </c>
    </row>
    <row r="19" customFormat="false" ht="15" hidden="false" customHeight="false" outlineLevel="0" collapsed="false">
      <c r="L19" s="82" t="n">
        <f aca="false">Results!W6</f>
        <v>2043</v>
      </c>
      <c r="M19" s="83" t="n">
        <f aca="false">Results!W11</f>
        <v>0</v>
      </c>
      <c r="N19" s="83" t="n">
        <f aca="false">Results!W12</f>
        <v>0</v>
      </c>
      <c r="O19" s="83" t="n">
        <f aca="false">Results!W20</f>
        <v>512964.411914386</v>
      </c>
    </row>
    <row r="20" customFormat="false" ht="15" hidden="false" customHeight="false" outlineLevel="0" collapsed="false">
      <c r="L20" s="82" t="n">
        <f aca="false">Results!X6</f>
        <v>2044</v>
      </c>
      <c r="M20" s="83" t="n">
        <f aca="false">Results!X11</f>
        <v>0</v>
      </c>
      <c r="N20" s="83" t="n">
        <f aca="false">Results!X12</f>
        <v>0</v>
      </c>
      <c r="O20" s="83" t="n">
        <f aca="false">Results!X20</f>
        <v>512964.411914386</v>
      </c>
    </row>
    <row r="21" customFormat="false" ht="15" hidden="false" customHeight="false" outlineLevel="0" collapsed="false">
      <c r="L21" s="82" t="n">
        <f aca="false">Results!Y6</f>
        <v>2045</v>
      </c>
      <c r="M21" s="83" t="n">
        <f aca="false">Results!Y11</f>
        <v>0</v>
      </c>
      <c r="N21" s="83" t="n">
        <f aca="false">Results!Y12</f>
        <v>0</v>
      </c>
      <c r="O21" s="83" t="n">
        <f aca="false">Results!Y20</f>
        <v>512964.411914386</v>
      </c>
    </row>
    <row r="22" customFormat="false" ht="15" hidden="false" customHeight="false" outlineLevel="0" collapsed="false">
      <c r="L22" s="82" t="n">
        <f aca="false">Results!Z6</f>
        <v>2046</v>
      </c>
      <c r="M22" s="83" t="n">
        <f aca="false">Results!Z11</f>
        <v>0</v>
      </c>
      <c r="N22" s="83" t="n">
        <f aca="false">Results!Z12</f>
        <v>0</v>
      </c>
      <c r="O22" s="83" t="n">
        <f aca="false">Results!Z20</f>
        <v>512964.411914386</v>
      </c>
    </row>
    <row r="23" customFormat="false" ht="15" hidden="false" customHeight="false" outlineLevel="0" collapsed="false">
      <c r="L23" s="82" t="n">
        <f aca="false">Results!AA6</f>
        <v>2047</v>
      </c>
      <c r="M23" s="83" t="n">
        <f aca="false">Results!AA11</f>
        <v>0</v>
      </c>
      <c r="N23" s="83" t="n">
        <f aca="false">Results!AA12</f>
        <v>0</v>
      </c>
      <c r="O23" s="83" t="n">
        <f aca="false">Results!AA20</f>
        <v>512964.411914386</v>
      </c>
    </row>
  </sheetData>
  <mergeCells count="17">
    <mergeCell ref="B5:C5"/>
    <mergeCell ref="E5:F5"/>
    <mergeCell ref="H5:I5"/>
    <mergeCell ref="B6:C6"/>
    <mergeCell ref="E6:F6"/>
    <mergeCell ref="H6:I6"/>
    <mergeCell ref="B8:C8"/>
    <mergeCell ref="E8:F8"/>
    <mergeCell ref="H8:I8"/>
    <mergeCell ref="B9:C9"/>
    <mergeCell ref="E9:F9"/>
    <mergeCell ref="H9:I9"/>
    <mergeCell ref="B11:I11"/>
    <mergeCell ref="B14:E14"/>
    <mergeCell ref="B15:E15"/>
    <mergeCell ref="B16:E16"/>
    <mergeCell ref="B17:E17"/>
  </mergeCells>
  <conditionalFormatting sqref="B11">
    <cfRule type="expression" priority="2" aboveAverage="0" equalAverage="0" bottom="0" percent="0" rank="0" text="" dxfId="6">
      <formula>LEFT($B$11,4)="Econ"</formula>
    </cfRule>
    <cfRule type="expression" priority="3" aboveAverage="0" equalAverage="0" bottom="0" percent="0" rank="0" text="" dxfId="7">
      <formula>LEFT($B$11,3)="Not"</formula>
    </cfRule>
    <cfRule type="expression" priority="4" aboveAverage="0" equalAverage="0" bottom="0" percent="0" rank="0" text="" dxfId="8">
      <formula>LEFT($B$11,4)="Marg"</formula>
    </cfRule>
  </conditionalFormatting>
  <conditionalFormatting sqref="B6">
    <cfRule type="cellIs" priority="5" operator="lessThan" aboveAverage="0" equalAverage="0" bottom="0" percent="0" rank="0" text="" dxfId="9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2026-10-29T14:59:24Z</dcterms:created>
  <dc:creator>openpyxl</dc:creator>
  <dc:description/>
  <dc:language>en-US</dc:language>
  <cp:lastModifiedBy/>
  <dcterms:modified xsi:type="dcterms:W3CDTF">2026-10-29T14:59:25Z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